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F:\PAB\PAB ARCHIVE\2003 PAB\"/>
    </mc:Choice>
  </mc:AlternateContent>
  <xr:revisionPtr revIDLastSave="0" documentId="8_{B4E5176D-56D4-4CF6-AB1E-D3FD03E73AC6}" xr6:coauthVersionLast="47" xr6:coauthVersionMax="47" xr10:uidLastSave="{00000000-0000-0000-0000-000000000000}"/>
  <bookViews>
    <workbookView xWindow="28680" yWindow="-120" windowWidth="29040" windowHeight="15840" tabRatio="861" activeTab="1"/>
  </bookViews>
  <sheets>
    <sheet name="Report to Bond Buyer" sheetId="28" r:id="rId1"/>
    <sheet name="Totals" sheetId="5" r:id="rId2"/>
    <sheet name="Carryforward2002" sheetId="25" r:id="rId3"/>
    <sheet name="Carryforward 2003" sheetId="27" r:id="rId4"/>
    <sheet name="SC1 MRB" sheetId="14" r:id="rId5"/>
    <sheet name="State Voted" sheetId="4" r:id="rId6"/>
    <sheet name="Small Issue IDBs" sheetId="6" r:id="rId7"/>
    <sheet name="Monica" sheetId="10" state="hidden" r:id="rId8"/>
    <sheet name="SC4 MF- TDHCA" sheetId="7" r:id="rId9"/>
    <sheet name="REGION 1" sheetId="11" r:id="rId10"/>
    <sheet name="REGION 2" sheetId="13" r:id="rId11"/>
    <sheet name="REGION 3" sheetId="12" r:id="rId12"/>
    <sheet name="REGION 4" sheetId="16" r:id="rId13"/>
    <sheet name="REGION 5" sheetId="17" r:id="rId14"/>
    <sheet name="REGION 6" sheetId="18" r:id="rId15"/>
    <sheet name="REGION 7" sheetId="19" r:id="rId16"/>
    <sheet name="REGION 8A" sheetId="20" r:id="rId17"/>
    <sheet name="REGION 8B" sheetId="23" r:id="rId18"/>
    <sheet name="REGION 9" sheetId="21" r:id="rId19"/>
    <sheet name="REGION 10" sheetId="22" r:id="rId20"/>
    <sheet name="September 1" sheetId="26" r:id="rId21"/>
    <sheet name="Student Loan Bonds" sheetId="8" r:id="rId22"/>
    <sheet name="SC6 OTHER" sheetId="24" r:id="rId23"/>
  </sheets>
  <externalReferences>
    <externalReference r:id="rId24"/>
  </externalReferences>
  <definedNames>
    <definedName name="_xlnm.Print_Area" localSheetId="8">'SC4 MF- TDHCA'!$A$1:$N$135</definedName>
    <definedName name="_xlnm.Print_Area" localSheetId="6">'Small Issue IDBs'!$A$1:$L$45</definedName>
    <definedName name="_xlnm.Print_Area" localSheetId="5">'State Voted'!$A$1:$L$30</definedName>
    <definedName name="_xlnm.Print_Area" localSheetId="21">'Student Loan Bonds'!$A$1:$L$27</definedName>
    <definedName name="_xlnm.Print_Area" localSheetId="1">Totals!$A$1:$R$18</definedName>
    <definedName name="_xlnm.Print_Titles" localSheetId="8">'SC4 MF- TDHCA'!$1:$6</definedName>
    <definedName name="_xlnm.Print_Titles" localSheetId="6">'Small Issue IDBs'!$1:$8</definedName>
    <definedName name="_xlnm.Print_Titles" localSheetId="5">'State Voted'!$1:$7</definedName>
    <definedName name="_xlnm.Print_Titles" localSheetId="21">'Student Loan Bonds'!$1:$6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4" i="28" l="1"/>
  <c r="D31" i="28" s="1"/>
  <c r="G38" i="20"/>
  <c r="D14" i="28"/>
  <c r="D25" i="28" s="1"/>
  <c r="D15" i="28"/>
  <c r="L15" i="25"/>
  <c r="K2" i="25"/>
  <c r="I2" i="25"/>
  <c r="F33" i="27"/>
  <c r="L26" i="27"/>
  <c r="L31" i="27" s="1"/>
  <c r="F31" i="14"/>
  <c r="F30" i="14"/>
  <c r="F29" i="14"/>
  <c r="F25" i="14"/>
  <c r="F26" i="14"/>
  <c r="F27" i="14"/>
  <c r="F28" i="14"/>
  <c r="J26" i="27"/>
  <c r="D5" i="27"/>
  <c r="I36" i="27"/>
  <c r="L23" i="28"/>
  <c r="L25" i="28"/>
  <c r="L26" i="28"/>
  <c r="L29" i="28"/>
  <c r="L30" i="28"/>
  <c r="L31" i="28"/>
  <c r="R45" i="5"/>
  <c r="L28" i="28" s="1"/>
  <c r="F6" i="5"/>
  <c r="H6" i="5"/>
  <c r="J6" i="5"/>
  <c r="L6" i="5"/>
  <c r="N6" i="5"/>
  <c r="P6" i="5"/>
  <c r="R6" i="5"/>
  <c r="S6" i="5"/>
  <c r="D8" i="28" s="1"/>
  <c r="D10" i="28" s="1"/>
  <c r="D27" i="28" s="1"/>
  <c r="E27" i="28" s="1"/>
  <c r="C25" i="28"/>
  <c r="G63" i="14"/>
  <c r="F10" i="5"/>
  <c r="L10" i="5"/>
  <c r="E15" i="8"/>
  <c r="D19" i="8" s="1"/>
  <c r="P10" i="5"/>
  <c r="P18" i="5" s="1"/>
  <c r="K15" i="8"/>
  <c r="P14" i="5"/>
  <c r="F8" i="5"/>
  <c r="F16" i="5" s="1"/>
  <c r="D15" i="8"/>
  <c r="P8" i="5" s="1"/>
  <c r="S56" i="5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14" i="7" s="1"/>
  <c r="M16" i="7"/>
  <c r="M14" i="7"/>
  <c r="M13" i="7"/>
  <c r="M12" i="7"/>
  <c r="M11" i="7"/>
  <c r="M10" i="7"/>
  <c r="M9" i="7"/>
  <c r="L114" i="7"/>
  <c r="L12" i="5" s="1"/>
  <c r="H36" i="27"/>
  <c r="P49" i="5"/>
  <c r="R53" i="5"/>
  <c r="J35" i="25"/>
  <c r="J36" i="25"/>
  <c r="L63" i="14"/>
  <c r="F12" i="5" s="1"/>
  <c r="J15" i="8"/>
  <c r="P12" i="5" s="1"/>
  <c r="L23" i="25"/>
  <c r="L35" i="25" s="1"/>
  <c r="T41" i="5" s="1"/>
  <c r="L28" i="25"/>
  <c r="K42" i="14"/>
  <c r="J31" i="27"/>
  <c r="K24" i="27"/>
  <c r="I24" i="27"/>
  <c r="K23" i="27"/>
  <c r="I23" i="27"/>
  <c r="K22" i="27"/>
  <c r="I22" i="27"/>
  <c r="K21" i="27"/>
  <c r="I21" i="27"/>
  <c r="K20" i="27"/>
  <c r="I20" i="27"/>
  <c r="K19" i="27"/>
  <c r="I19" i="27"/>
  <c r="K18" i="27"/>
  <c r="I18" i="27"/>
  <c r="K27" i="27"/>
  <c r="I27" i="27"/>
  <c r="M17" i="27"/>
  <c r="K17" i="27"/>
  <c r="I17" i="27"/>
  <c r="M16" i="27"/>
  <c r="K16" i="27"/>
  <c r="I16" i="27"/>
  <c r="K15" i="27"/>
  <c r="I15" i="27"/>
  <c r="K14" i="27"/>
  <c r="I14" i="27"/>
  <c r="K13" i="27"/>
  <c r="I13" i="27"/>
  <c r="K12" i="27"/>
  <c r="I12" i="27"/>
  <c r="M11" i="27"/>
  <c r="K11" i="27"/>
  <c r="I11" i="27"/>
  <c r="K10" i="27"/>
  <c r="I10" i="27"/>
  <c r="K9" i="27"/>
  <c r="I9" i="27"/>
  <c r="K8" i="27"/>
  <c r="I8" i="27"/>
  <c r="I4" i="27"/>
  <c r="G4" i="27"/>
  <c r="F4" i="27"/>
  <c r="G3" i="27"/>
  <c r="F3" i="27"/>
  <c r="G2" i="27"/>
  <c r="F2" i="27"/>
  <c r="L84" i="18"/>
  <c r="J122" i="7"/>
  <c r="I122" i="7"/>
  <c r="K122" i="7" s="1"/>
  <c r="I27" i="19"/>
  <c r="K27" i="19"/>
  <c r="M75" i="18"/>
  <c r="F34" i="19"/>
  <c r="M28" i="12"/>
  <c r="M43" i="18"/>
  <c r="M24" i="12"/>
  <c r="M24" i="20"/>
  <c r="M50" i="18"/>
  <c r="M70" i="18"/>
  <c r="M32" i="14"/>
  <c r="L32" i="14"/>
  <c r="M45" i="18"/>
  <c r="M73" i="18"/>
  <c r="M36" i="18"/>
  <c r="K78" i="18"/>
  <c r="I78" i="18"/>
  <c r="K77" i="18"/>
  <c r="I77" i="18"/>
  <c r="K93" i="7"/>
  <c r="I93" i="7"/>
  <c r="I12" i="8"/>
  <c r="G12" i="8"/>
  <c r="M34" i="18"/>
  <c r="K89" i="7"/>
  <c r="I89" i="7"/>
  <c r="M33" i="18"/>
  <c r="K26" i="19"/>
  <c r="I26" i="19"/>
  <c r="K31" i="19"/>
  <c r="I31" i="19"/>
  <c r="K80" i="7"/>
  <c r="I80" i="7"/>
  <c r="K79" i="7"/>
  <c r="I79" i="7"/>
  <c r="M32" i="18"/>
  <c r="K69" i="7"/>
  <c r="I69" i="7"/>
  <c r="K68" i="7"/>
  <c r="I68" i="7"/>
  <c r="K75" i="18"/>
  <c r="I75" i="18"/>
  <c r="M53" i="14"/>
  <c r="M29" i="18"/>
  <c r="K67" i="7"/>
  <c r="I67" i="7"/>
  <c r="M26" i="18"/>
  <c r="K61" i="7"/>
  <c r="I61" i="7"/>
  <c r="K44" i="12"/>
  <c r="I44" i="12"/>
  <c r="M12" i="11"/>
  <c r="I58" i="7"/>
  <c r="K58" i="7"/>
  <c r="M11" i="16"/>
  <c r="N1" i="14"/>
  <c r="K57" i="7"/>
  <c r="I57" i="7"/>
  <c r="K56" i="7"/>
  <c r="I56" i="7"/>
  <c r="K73" i="18"/>
  <c r="I73" i="18"/>
  <c r="K55" i="7"/>
  <c r="I55" i="7"/>
  <c r="K54" i="7"/>
  <c r="I54" i="7"/>
  <c r="M16" i="21"/>
  <c r="M21" i="16"/>
  <c r="M20" i="11"/>
  <c r="H70" i="5"/>
  <c r="L70" i="5" s="1"/>
  <c r="J70" i="5"/>
  <c r="K29" i="6"/>
  <c r="J14" i="5" s="1"/>
  <c r="E73" i="14"/>
  <c r="D50" i="5" s="1"/>
  <c r="F73" i="14"/>
  <c r="M31" i="24"/>
  <c r="K51" i="7"/>
  <c r="I51" i="7"/>
  <c r="K17" i="19"/>
  <c r="I17" i="19"/>
  <c r="K50" i="7"/>
  <c r="I50" i="7"/>
  <c r="K72" i="18"/>
  <c r="I72" i="18"/>
  <c r="K48" i="7"/>
  <c r="I48" i="7"/>
  <c r="K46" i="7"/>
  <c r="I46" i="7"/>
  <c r="K71" i="18"/>
  <c r="I71" i="18"/>
  <c r="K70" i="18"/>
  <c r="I70" i="18"/>
  <c r="F43" i="14"/>
  <c r="F34" i="14"/>
  <c r="F42" i="14"/>
  <c r="F41" i="14"/>
  <c r="F39" i="14"/>
  <c r="F37" i="14"/>
  <c r="F36" i="14"/>
  <c r="D40" i="25"/>
  <c r="K22" i="25"/>
  <c r="I22" i="25"/>
  <c r="K66" i="18"/>
  <c r="K64" i="18"/>
  <c r="K63" i="18"/>
  <c r="K61" i="18"/>
  <c r="K60" i="18"/>
  <c r="I66" i="18"/>
  <c r="I64" i="18"/>
  <c r="I63" i="18"/>
  <c r="I61" i="18"/>
  <c r="I60" i="18"/>
  <c r="K24" i="20"/>
  <c r="I24" i="20"/>
  <c r="I54" i="18"/>
  <c r="K54" i="18"/>
  <c r="K53" i="18"/>
  <c r="I53" i="18"/>
  <c r="K50" i="18"/>
  <c r="I50" i="18"/>
  <c r="K29" i="12"/>
  <c r="I29" i="12"/>
  <c r="K25" i="12"/>
  <c r="I25" i="12"/>
  <c r="K24" i="12"/>
  <c r="I24" i="12"/>
  <c r="K26" i="12"/>
  <c r="I26" i="12"/>
  <c r="K36" i="18"/>
  <c r="I36" i="18"/>
  <c r="K43" i="18"/>
  <c r="I43" i="18"/>
  <c r="I37" i="18"/>
  <c r="K37" i="18"/>
  <c r="K45" i="18"/>
  <c r="I45" i="18"/>
  <c r="K28" i="12"/>
  <c r="I28" i="12"/>
  <c r="G34" i="19"/>
  <c r="M16" i="14"/>
  <c r="M18" i="14"/>
  <c r="M22" i="14"/>
  <c r="M24" i="14"/>
  <c r="M63" i="14" s="1"/>
  <c r="G50" i="12"/>
  <c r="G84" i="18"/>
  <c r="G114" i="7"/>
  <c r="G32" i="20"/>
  <c r="K53" i="14"/>
  <c r="I53" i="14"/>
  <c r="I23" i="6"/>
  <c r="G23" i="6"/>
  <c r="K33" i="24"/>
  <c r="I33" i="24"/>
  <c r="K32" i="14"/>
  <c r="I32" i="14"/>
  <c r="M27" i="25"/>
  <c r="K27" i="25"/>
  <c r="I27" i="25"/>
  <c r="M12" i="19"/>
  <c r="I19" i="6"/>
  <c r="G19" i="6"/>
  <c r="K21" i="25"/>
  <c r="I21" i="25"/>
  <c r="K41" i="7"/>
  <c r="K40" i="7"/>
  <c r="I41" i="7"/>
  <c r="I40" i="7"/>
  <c r="K39" i="7"/>
  <c r="I39" i="7"/>
  <c r="K15" i="20"/>
  <c r="I15" i="20"/>
  <c r="K34" i="18"/>
  <c r="I34" i="18"/>
  <c r="M17" i="12"/>
  <c r="K36" i="7"/>
  <c r="I36" i="7"/>
  <c r="I35" i="7"/>
  <c r="K35" i="7"/>
  <c r="K30" i="7"/>
  <c r="K19" i="14"/>
  <c r="K33" i="18"/>
  <c r="I33" i="18"/>
  <c r="I16" i="6"/>
  <c r="G16" i="6"/>
  <c r="M16" i="18"/>
  <c r="M84" i="18" s="1"/>
  <c r="F88" i="18" s="1"/>
  <c r="K32" i="18"/>
  <c r="I32" i="18"/>
  <c r="K19" i="12"/>
  <c r="I19" i="12"/>
  <c r="M16" i="12"/>
  <c r="K29" i="18"/>
  <c r="I29" i="18"/>
  <c r="I30" i="7"/>
  <c r="I28" i="18"/>
  <c r="K28" i="18"/>
  <c r="K25" i="18"/>
  <c r="I25" i="18"/>
  <c r="K26" i="18"/>
  <c r="I26" i="18"/>
  <c r="I31" i="24"/>
  <c r="K31" i="24"/>
  <c r="L50" i="12"/>
  <c r="L34" i="19"/>
  <c r="L21" i="16"/>
  <c r="L20" i="11"/>
  <c r="L32" i="20"/>
  <c r="F137" i="7"/>
  <c r="D29" i="6"/>
  <c r="J8" i="5" s="1"/>
  <c r="D63" i="14"/>
  <c r="M26" i="25"/>
  <c r="K26" i="25"/>
  <c r="I26" i="25"/>
  <c r="M11" i="19"/>
  <c r="M34" i="19" s="1"/>
  <c r="K12" i="11"/>
  <c r="I12" i="11"/>
  <c r="G20" i="11"/>
  <c r="N10" i="5" s="1"/>
  <c r="K11" i="16"/>
  <c r="I11" i="16"/>
  <c r="I9" i="21"/>
  <c r="K9" i="21"/>
  <c r="M20" i="25"/>
  <c r="K20" i="25"/>
  <c r="I20" i="25"/>
  <c r="K19" i="25"/>
  <c r="I19" i="25"/>
  <c r="K18" i="25"/>
  <c r="I18" i="25"/>
  <c r="G39" i="24"/>
  <c r="R10" i="5" s="1"/>
  <c r="M23" i="24"/>
  <c r="I30" i="24"/>
  <c r="K30" i="24"/>
  <c r="M12" i="12"/>
  <c r="M50" i="12" s="1"/>
  <c r="F54" i="12" s="1"/>
  <c r="G54" i="12" s="1"/>
  <c r="K22" i="18"/>
  <c r="K21" i="18"/>
  <c r="I22" i="18"/>
  <c r="I21" i="18"/>
  <c r="M25" i="24"/>
  <c r="M13" i="20"/>
  <c r="M32" i="20" s="1"/>
  <c r="M10" i="24"/>
  <c r="G16" i="21"/>
  <c r="F20" i="21" s="1"/>
  <c r="G21" i="16"/>
  <c r="F25" i="16" s="1"/>
  <c r="K28" i="7"/>
  <c r="I28" i="7"/>
  <c r="I28" i="24"/>
  <c r="K28" i="24"/>
  <c r="K29" i="24"/>
  <c r="I29" i="24"/>
  <c r="M19" i="24"/>
  <c r="M9" i="17"/>
  <c r="K25" i="7"/>
  <c r="K24" i="7"/>
  <c r="I25" i="7"/>
  <c r="I24" i="7"/>
  <c r="M8" i="24"/>
  <c r="M39" i="24" s="1"/>
  <c r="R14" i="5" s="1"/>
  <c r="K13" i="19"/>
  <c r="I13" i="19"/>
  <c r="K18" i="18"/>
  <c r="I18" i="18"/>
  <c r="K14" i="25"/>
  <c r="I14" i="25"/>
  <c r="I27" i="24"/>
  <c r="K27" i="24"/>
  <c r="M7" i="24"/>
  <c r="I22" i="7"/>
  <c r="K22" i="7"/>
  <c r="K12" i="19"/>
  <c r="I12" i="19"/>
  <c r="K13" i="25"/>
  <c r="I13" i="25"/>
  <c r="M15" i="24"/>
  <c r="K11" i="25"/>
  <c r="I11" i="25"/>
  <c r="I21" i="7"/>
  <c r="K21" i="7"/>
  <c r="I20" i="7"/>
  <c r="K20" i="7"/>
  <c r="G1" i="7"/>
  <c r="K10" i="25"/>
  <c r="I10" i="25"/>
  <c r="K9" i="25"/>
  <c r="I9" i="25"/>
  <c r="K8" i="25"/>
  <c r="I8" i="25"/>
  <c r="I17" i="12"/>
  <c r="K17" i="12"/>
  <c r="K19" i="7"/>
  <c r="K18" i="7"/>
  <c r="I19" i="7"/>
  <c r="I18" i="7"/>
  <c r="K7" i="25"/>
  <c r="I7" i="25"/>
  <c r="K6" i="25"/>
  <c r="I6" i="25"/>
  <c r="I16" i="18"/>
  <c r="K16" i="18"/>
  <c r="I26" i="24"/>
  <c r="K26" i="24"/>
  <c r="K5" i="25"/>
  <c r="I5" i="25"/>
  <c r="I16" i="12"/>
  <c r="K16" i="12"/>
  <c r="K4" i="25"/>
  <c r="I4" i="25"/>
  <c r="K17" i="7"/>
  <c r="I17" i="7"/>
  <c r="K15" i="18"/>
  <c r="I15" i="18"/>
  <c r="H15" i="8"/>
  <c r="K3" i="25"/>
  <c r="I3" i="25"/>
  <c r="F24" i="14"/>
  <c r="F18" i="14"/>
  <c r="I16" i="7"/>
  <c r="K16" i="7"/>
  <c r="I9" i="4"/>
  <c r="G9" i="4"/>
  <c r="C3" i="19"/>
  <c r="C3" i="18"/>
  <c r="I15" i="7"/>
  <c r="K15" i="7"/>
  <c r="K9" i="17"/>
  <c r="I9" i="17"/>
  <c r="I18" i="19"/>
  <c r="K18" i="19"/>
  <c r="I13" i="6"/>
  <c r="I10" i="6"/>
  <c r="G13" i="6"/>
  <c r="G10" i="6"/>
  <c r="I8" i="11"/>
  <c r="K8" i="11"/>
  <c r="K25" i="24"/>
  <c r="K24" i="24"/>
  <c r="K23" i="24"/>
  <c r="K22" i="24"/>
  <c r="K21" i="24"/>
  <c r="K20" i="24"/>
  <c r="K19" i="24"/>
  <c r="K18" i="24"/>
  <c r="K17" i="24"/>
  <c r="K16" i="24"/>
  <c r="K15" i="24"/>
  <c r="K14" i="24"/>
  <c r="K13" i="24"/>
  <c r="K12" i="24"/>
  <c r="K11" i="24"/>
  <c r="K10" i="24"/>
  <c r="K9" i="24"/>
  <c r="K8" i="24"/>
  <c r="K7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K14" i="7"/>
  <c r="K13" i="7"/>
  <c r="K12" i="7"/>
  <c r="K11" i="7"/>
  <c r="K10" i="7"/>
  <c r="K9" i="7"/>
  <c r="I14" i="7"/>
  <c r="I13" i="7"/>
  <c r="I12" i="7"/>
  <c r="I11" i="7"/>
  <c r="I10" i="7"/>
  <c r="I9" i="7"/>
  <c r="K13" i="20"/>
  <c r="K9" i="20"/>
  <c r="I13" i="20"/>
  <c r="I9" i="20"/>
  <c r="K11" i="19"/>
  <c r="I11" i="19"/>
  <c r="K13" i="18"/>
  <c r="K12" i="18"/>
  <c r="K11" i="18"/>
  <c r="K10" i="18"/>
  <c r="I13" i="18"/>
  <c r="I12" i="18"/>
  <c r="I11" i="18"/>
  <c r="I10" i="18"/>
  <c r="K9" i="16"/>
  <c r="I9" i="16"/>
  <c r="K15" i="12"/>
  <c r="K14" i="12"/>
  <c r="K13" i="12"/>
  <c r="K12" i="12"/>
  <c r="I15" i="12"/>
  <c r="I14" i="12"/>
  <c r="I13" i="12"/>
  <c r="I12" i="12"/>
  <c r="K11" i="12"/>
  <c r="I11" i="12"/>
  <c r="F84" i="18"/>
  <c r="F86" i="18" s="1"/>
  <c r="K29" i="14"/>
  <c r="K28" i="14"/>
  <c r="K27" i="14"/>
  <c r="K26" i="14"/>
  <c r="K25" i="14"/>
  <c r="K24" i="14"/>
  <c r="K23" i="14"/>
  <c r="K22" i="14"/>
  <c r="K21" i="14"/>
  <c r="K20" i="14"/>
  <c r="K18" i="14"/>
  <c r="K17" i="14"/>
  <c r="K16" i="14"/>
  <c r="K15" i="14"/>
  <c r="K14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K13" i="14"/>
  <c r="I13" i="14"/>
  <c r="I8" i="8"/>
  <c r="G8" i="8"/>
  <c r="F16" i="14"/>
  <c r="F23" i="14"/>
  <c r="F21" i="14"/>
  <c r="F20" i="14"/>
  <c r="F50" i="14"/>
  <c r="F54" i="14"/>
  <c r="F52" i="14"/>
  <c r="F49" i="14"/>
  <c r="F15" i="14"/>
  <c r="F14" i="14"/>
  <c r="L15" i="17"/>
  <c r="C3" i="12"/>
  <c r="H2" i="14"/>
  <c r="H1" i="14" s="1"/>
  <c r="M15" i="17"/>
  <c r="G15" i="17"/>
  <c r="F19" i="17" s="1"/>
  <c r="G18" i="23"/>
  <c r="M18" i="23"/>
  <c r="F22" i="23" s="1"/>
  <c r="G15" i="22"/>
  <c r="M15" i="22"/>
  <c r="F19" i="22" s="1"/>
  <c r="E16" i="4"/>
  <c r="H10" i="5" s="1"/>
  <c r="K16" i="4"/>
  <c r="H14" i="5" s="1"/>
  <c r="E29" i="6"/>
  <c r="D33" i="6" s="1"/>
  <c r="L18" i="23"/>
  <c r="L16" i="21"/>
  <c r="L15" i="22"/>
  <c r="F39" i="24"/>
  <c r="R8" i="5" s="1"/>
  <c r="F114" i="7"/>
  <c r="L8" i="5" s="1"/>
  <c r="F20" i="11"/>
  <c r="F50" i="12"/>
  <c r="F21" i="16"/>
  <c r="F15" i="17"/>
  <c r="F32" i="20"/>
  <c r="F18" i="23"/>
  <c r="F16" i="21"/>
  <c r="F15" i="22"/>
  <c r="D16" i="4"/>
  <c r="H8" i="5" s="1"/>
  <c r="B242" i="10"/>
  <c r="B243" i="10"/>
  <c r="B244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M177" i="10" s="1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2" i="10"/>
  <c r="B193" i="10"/>
  <c r="M193" i="10" s="1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M213" i="10" s="1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M225" i="10" s="1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M257" i="10" s="1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M281" i="10" s="1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368" i="10"/>
  <c r="B369" i="10"/>
  <c r="B370" i="10"/>
  <c r="B371" i="10"/>
  <c r="B372" i="10"/>
  <c r="B373" i="10"/>
  <c r="B374" i="10"/>
  <c r="B375" i="10"/>
  <c r="B376" i="10"/>
  <c r="B377" i="10"/>
  <c r="B378" i="10"/>
  <c r="B379" i="10"/>
  <c r="B380" i="10"/>
  <c r="B381" i="10"/>
  <c r="B382" i="10"/>
  <c r="B383" i="10"/>
  <c r="B384" i="10"/>
  <c r="B385" i="10"/>
  <c r="B386" i="10"/>
  <c r="B387" i="10"/>
  <c r="B388" i="10"/>
  <c r="B389" i="10"/>
  <c r="B390" i="10"/>
  <c r="B391" i="10"/>
  <c r="B392" i="10"/>
  <c r="B393" i="10"/>
  <c r="B394" i="10"/>
  <c r="B395" i="10"/>
  <c r="B396" i="10"/>
  <c r="B397" i="10"/>
  <c r="B398" i="10"/>
  <c r="B399" i="10"/>
  <c r="B400" i="10"/>
  <c r="B401" i="10"/>
  <c r="B402" i="10"/>
  <c r="B403" i="10"/>
  <c r="B404" i="10"/>
  <c r="B405" i="10"/>
  <c r="B406" i="10"/>
  <c r="B407" i="10"/>
  <c r="B408" i="10"/>
  <c r="B409" i="10"/>
  <c r="B410" i="10"/>
  <c r="B411" i="10"/>
  <c r="B412" i="10"/>
  <c r="B413" i="10"/>
  <c r="B414" i="10"/>
  <c r="B415" i="10"/>
  <c r="B416" i="10"/>
  <c r="B417" i="10"/>
  <c r="B418" i="10"/>
  <c r="B419" i="10"/>
  <c r="B420" i="10"/>
  <c r="B421" i="10"/>
  <c r="B422" i="10"/>
  <c r="B423" i="10"/>
  <c r="B424" i="10"/>
  <c r="B425" i="10"/>
  <c r="B426" i="10"/>
  <c r="B427" i="10"/>
  <c r="B428" i="10"/>
  <c r="B429" i="10"/>
  <c r="B430" i="10"/>
  <c r="B431" i="10"/>
  <c r="B432" i="10"/>
  <c r="B433" i="10"/>
  <c r="B434" i="10"/>
  <c r="B435" i="10"/>
  <c r="B436" i="10"/>
  <c r="B437" i="10"/>
  <c r="B438" i="10"/>
  <c r="B439" i="10"/>
  <c r="B440" i="10"/>
  <c r="B441" i="10"/>
  <c r="B442" i="10"/>
  <c r="B443" i="10"/>
  <c r="B444" i="10"/>
  <c r="B445" i="10"/>
  <c r="B446" i="10"/>
  <c r="B447" i="10"/>
  <c r="B448" i="10"/>
  <c r="B449" i="10"/>
  <c r="B450" i="10"/>
  <c r="B451" i="10"/>
  <c r="B452" i="10"/>
  <c r="B453" i="10"/>
  <c r="B454" i="10"/>
  <c r="B455" i="10"/>
  <c r="B456" i="10"/>
  <c r="B457" i="10"/>
  <c r="B458" i="10"/>
  <c r="B459" i="10"/>
  <c r="B460" i="10"/>
  <c r="B461" i="10"/>
  <c r="B462" i="10"/>
  <c r="B463" i="10"/>
  <c r="B464" i="10"/>
  <c r="B465" i="10"/>
  <c r="B466" i="10"/>
  <c r="B467" i="10"/>
  <c r="B468" i="10"/>
  <c r="B469" i="10"/>
  <c r="B470" i="10"/>
  <c r="B471" i="10"/>
  <c r="B472" i="10"/>
  <c r="B473" i="10"/>
  <c r="B474" i="10"/>
  <c r="B475" i="10"/>
  <c r="B476" i="10"/>
  <c r="B477" i="10"/>
  <c r="B478" i="10"/>
  <c r="B479" i="10"/>
  <c r="B480" i="10"/>
  <c r="B481" i="10"/>
  <c r="B482" i="10"/>
  <c r="B483" i="10"/>
  <c r="B484" i="10"/>
  <c r="B485" i="10"/>
  <c r="B486" i="10"/>
  <c r="B487" i="10"/>
  <c r="B488" i="10"/>
  <c r="B489" i="10"/>
  <c r="B490" i="10"/>
  <c r="B491" i="10"/>
  <c r="B492" i="10"/>
  <c r="B493" i="10"/>
  <c r="B494" i="10"/>
  <c r="B495" i="10"/>
  <c r="B496" i="10"/>
  <c r="B497" i="10"/>
  <c r="B498" i="10"/>
  <c r="B499" i="10"/>
  <c r="B500" i="10"/>
  <c r="B501" i="10"/>
  <c r="B502" i="10"/>
  <c r="B503" i="10"/>
  <c r="B504" i="10"/>
  <c r="B505" i="10"/>
  <c r="B506" i="10"/>
  <c r="B507" i="10"/>
  <c r="B508" i="10"/>
  <c r="B509" i="10"/>
  <c r="B510" i="10"/>
  <c r="B511" i="10"/>
  <c r="B512" i="10"/>
  <c r="B513" i="10"/>
  <c r="B514" i="10"/>
  <c r="B515" i="10"/>
  <c r="B516" i="10"/>
  <c r="B517" i="10"/>
  <c r="B518" i="10"/>
  <c r="B519" i="10"/>
  <c r="B520" i="10"/>
  <c r="B521" i="10"/>
  <c r="B522" i="10"/>
  <c r="B523" i="10"/>
  <c r="B524" i="10"/>
  <c r="B525" i="10"/>
  <c r="B526" i="10"/>
  <c r="B527" i="10"/>
  <c r="B528" i="10"/>
  <c r="B529" i="10"/>
  <c r="B530" i="10"/>
  <c r="B531" i="10"/>
  <c r="B532" i="10"/>
  <c r="B533" i="10"/>
  <c r="B534" i="10"/>
  <c r="B535" i="10"/>
  <c r="B536" i="10"/>
  <c r="B537" i="10"/>
  <c r="B538" i="10"/>
  <c r="B539" i="10"/>
  <c r="B540" i="10"/>
  <c r="B541" i="10"/>
  <c r="B542" i="10"/>
  <c r="B543" i="10"/>
  <c r="B544" i="10"/>
  <c r="B545" i="10"/>
  <c r="B546" i="10"/>
  <c r="B547" i="10"/>
  <c r="M277" i="10"/>
  <c r="M285" i="10"/>
  <c r="M289" i="10"/>
  <c r="M293" i="10"/>
  <c r="M185" i="10"/>
  <c r="M181" i="10"/>
  <c r="M189" i="10"/>
  <c r="M197" i="10"/>
  <c r="M201" i="10"/>
  <c r="M205" i="10"/>
  <c r="M209" i="10"/>
  <c r="M217" i="10"/>
  <c r="M221" i="10"/>
  <c r="M229" i="10"/>
  <c r="M233" i="10"/>
  <c r="M237" i="10"/>
  <c r="M241" i="10"/>
  <c r="M245" i="10"/>
  <c r="M249" i="10"/>
  <c r="M253" i="10"/>
  <c r="M261" i="10"/>
  <c r="M265" i="10"/>
  <c r="M269" i="10"/>
  <c r="M273" i="10"/>
  <c r="E321" i="10"/>
  <c r="E317" i="10"/>
  <c r="E313" i="10"/>
  <c r="E309" i="10"/>
  <c r="E305" i="10"/>
  <c r="E301" i="10"/>
  <c r="E297" i="10"/>
  <c r="M297" i="10"/>
  <c r="K552" i="10"/>
  <c r="D552" i="10"/>
  <c r="J552" i="10"/>
  <c r="H552" i="10"/>
  <c r="I193" i="10"/>
  <c r="G193" i="10"/>
  <c r="I189" i="10"/>
  <c r="G189" i="10"/>
  <c r="I181" i="10"/>
  <c r="G181" i="10"/>
  <c r="I177" i="10"/>
  <c r="G177" i="10"/>
  <c r="I173" i="10"/>
  <c r="G173" i="10"/>
  <c r="I169" i="10"/>
  <c r="G169" i="10"/>
  <c r="I165" i="10"/>
  <c r="G165" i="10"/>
  <c r="I161" i="10"/>
  <c r="G161" i="10"/>
  <c r="I153" i="10"/>
  <c r="G153" i="10"/>
  <c r="I149" i="10"/>
  <c r="G149" i="10"/>
  <c r="I141" i="10"/>
  <c r="G141" i="10"/>
  <c r="I137" i="10"/>
  <c r="G137" i="10"/>
  <c r="I133" i="10"/>
  <c r="G133" i="10"/>
  <c r="I129" i="10"/>
  <c r="G129" i="10"/>
  <c r="I125" i="10"/>
  <c r="G125" i="10"/>
  <c r="I113" i="10"/>
  <c r="G113" i="10"/>
  <c r="I109" i="10"/>
  <c r="G109" i="10"/>
  <c r="I105" i="10"/>
  <c r="G105" i="10"/>
  <c r="I97" i="10"/>
  <c r="G97" i="10"/>
  <c r="I93" i="10"/>
  <c r="G93" i="10"/>
  <c r="I89" i="10"/>
  <c r="G89" i="10"/>
  <c r="I85" i="10"/>
  <c r="G85" i="10"/>
  <c r="I81" i="10"/>
  <c r="G81" i="10"/>
  <c r="I77" i="10"/>
  <c r="G77" i="10"/>
  <c r="I73" i="10"/>
  <c r="G73" i="10"/>
  <c r="I65" i="10"/>
  <c r="G65" i="10"/>
  <c r="I61" i="10"/>
  <c r="G61" i="10"/>
  <c r="I57" i="10"/>
  <c r="G57" i="10"/>
  <c r="I53" i="10"/>
  <c r="G53" i="10"/>
  <c r="I49" i="10"/>
  <c r="G49" i="10"/>
  <c r="I45" i="10"/>
  <c r="G45" i="10"/>
  <c r="I37" i="10"/>
  <c r="G37" i="10"/>
  <c r="I29" i="10"/>
  <c r="G29" i="10"/>
  <c r="I25" i="10"/>
  <c r="G25" i="10"/>
  <c r="I21" i="10"/>
  <c r="G21" i="10"/>
  <c r="I13" i="10"/>
  <c r="G13" i="10"/>
  <c r="F22" i="11"/>
  <c r="J20" i="11"/>
  <c r="N1" i="11"/>
  <c r="F17" i="22"/>
  <c r="J15" i="22"/>
  <c r="N1" i="22"/>
  <c r="G12" i="13"/>
  <c r="F16" i="13" s="1"/>
  <c r="M12" i="13"/>
  <c r="F12" i="13"/>
  <c r="F14" i="13" s="1"/>
  <c r="L12" i="13"/>
  <c r="N12" i="5" s="1"/>
  <c r="J12" i="13"/>
  <c r="N1" i="13"/>
  <c r="F52" i="12"/>
  <c r="J50" i="12"/>
  <c r="N1" i="12"/>
  <c r="F23" i="16"/>
  <c r="J21" i="16"/>
  <c r="N1" i="16"/>
  <c r="F17" i="17"/>
  <c r="J15" i="17"/>
  <c r="N1" i="17"/>
  <c r="J84" i="18"/>
  <c r="N1" i="18"/>
  <c r="F36" i="19"/>
  <c r="J34" i="19"/>
  <c r="N1" i="19"/>
  <c r="F34" i="20"/>
  <c r="J32" i="20"/>
  <c r="N1" i="20"/>
  <c r="F20" i="23"/>
  <c r="J18" i="23"/>
  <c r="N1" i="23"/>
  <c r="F18" i="21"/>
  <c r="J16" i="21"/>
  <c r="N1" i="21"/>
  <c r="D65" i="14"/>
  <c r="J63" i="14"/>
  <c r="F63" i="14"/>
  <c r="N1" i="7"/>
  <c r="J114" i="7"/>
  <c r="F116" i="7"/>
  <c r="F41" i="24"/>
  <c r="H2" i="24"/>
  <c r="H1" i="24" s="1"/>
  <c r="N1" i="24"/>
  <c r="L39" i="24"/>
  <c r="R12" i="5" s="1"/>
  <c r="R44" i="5" s="1"/>
  <c r="L27" i="28" s="1"/>
  <c r="H2" i="6"/>
  <c r="H1" i="6"/>
  <c r="L1" i="6"/>
  <c r="J29" i="6"/>
  <c r="J12" i="5" s="1"/>
  <c r="H29" i="6"/>
  <c r="D31" i="6"/>
  <c r="J16" i="4"/>
  <c r="H12" i="5" s="1"/>
  <c r="H16" i="4"/>
  <c r="L1" i="4"/>
  <c r="I7" i="4"/>
  <c r="G7" i="4"/>
  <c r="D18" i="4"/>
  <c r="L1" i="8"/>
  <c r="I11" i="8"/>
  <c r="I10" i="8"/>
  <c r="G11" i="8"/>
  <c r="G10" i="8"/>
  <c r="I9" i="8"/>
  <c r="G9" i="8"/>
  <c r="D17" i="8"/>
  <c r="E2" i="5"/>
  <c r="D6" i="5"/>
  <c r="F36" i="20" l="1"/>
  <c r="F38" i="19"/>
  <c r="S12" i="5"/>
  <c r="D12" i="5"/>
  <c r="L18" i="5"/>
  <c r="N285" i="10"/>
  <c r="N269" i="10"/>
  <c r="N237" i="10"/>
  <c r="N209" i="10"/>
  <c r="N213" i="10"/>
  <c r="N257" i="10"/>
  <c r="N225" i="10"/>
  <c r="N193" i="10"/>
  <c r="N293" i="10"/>
  <c r="N245" i="10"/>
  <c r="N205" i="10"/>
  <c r="N189" i="10"/>
  <c r="N281" i="10"/>
  <c r="N265" i="10"/>
  <c r="N233" i="10"/>
  <c r="N201" i="10"/>
  <c r="N253" i="10"/>
  <c r="N221" i="10"/>
  <c r="N185" i="10"/>
  <c r="N181" i="10"/>
  <c r="N273" i="10"/>
  <c r="N241" i="10"/>
  <c r="N289" i="10"/>
  <c r="N277" i="10"/>
  <c r="N261" i="10"/>
  <c r="N229" i="10"/>
  <c r="N197" i="10"/>
  <c r="N177" i="10"/>
  <c r="N249" i="10"/>
  <c r="N217" i="10"/>
  <c r="J16" i="5"/>
  <c r="J23" i="5"/>
  <c r="F14" i="5"/>
  <c r="D67" i="14"/>
  <c r="P23" i="5"/>
  <c r="P16" i="5"/>
  <c r="H16" i="5"/>
  <c r="H23" i="5"/>
  <c r="H18" i="5"/>
  <c r="D10" i="5"/>
  <c r="N14" i="5"/>
  <c r="N18" i="5" s="1"/>
  <c r="L16" i="5"/>
  <c r="N39" i="5"/>
  <c r="R41" i="5"/>
  <c r="N20" i="5"/>
  <c r="H39" i="5"/>
  <c r="P41" i="5"/>
  <c r="L14" i="5"/>
  <c r="F118" i="7"/>
  <c r="G120" i="7" s="1"/>
  <c r="R23" i="5"/>
  <c r="R16" i="5"/>
  <c r="R18" i="5"/>
  <c r="N8" i="5"/>
  <c r="D8" i="5" s="1"/>
  <c r="J10" i="5"/>
  <c r="J18" i="5" s="1"/>
  <c r="F43" i="24"/>
  <c r="F24" i="11"/>
  <c r="D20" i="4"/>
  <c r="C8" i="28"/>
  <c r="C10" i="28" s="1"/>
  <c r="C27" i="28" s="1"/>
  <c r="F18" i="5"/>
  <c r="F23" i="5"/>
  <c r="D49" i="5" l="1"/>
  <c r="L24" i="28"/>
  <c r="L32" i="28" s="1"/>
  <c r="R49" i="5"/>
  <c r="S49" i="5" s="1"/>
  <c r="S51" i="5" s="1"/>
  <c r="P261" i="10"/>
  <c r="O261" i="10"/>
  <c r="E261" i="10" s="1"/>
  <c r="P253" i="10"/>
  <c r="O253" i="10"/>
  <c r="E253" i="10" s="1"/>
  <c r="O293" i="10"/>
  <c r="E293" i="10" s="1"/>
  <c r="P293" i="10"/>
  <c r="O285" i="10"/>
  <c r="E285" i="10" s="1"/>
  <c r="P285" i="10"/>
  <c r="P229" i="10"/>
  <c r="O229" i="10"/>
  <c r="E229" i="10" s="1"/>
  <c r="S18" i="5"/>
  <c r="D18" i="5"/>
  <c r="D558" i="10" s="1"/>
  <c r="P277" i="10"/>
  <c r="O277" i="10"/>
  <c r="E277" i="10" s="1"/>
  <c r="O289" i="10"/>
  <c r="E289" i="10" s="1"/>
  <c r="P289" i="10"/>
  <c r="O233" i="10"/>
  <c r="E233" i="10" s="1"/>
  <c r="P233" i="10"/>
  <c r="P225" i="10"/>
  <c r="O225" i="10"/>
  <c r="E225" i="10" s="1"/>
  <c r="O245" i="10"/>
  <c r="E245" i="10" s="1"/>
  <c r="P245" i="10"/>
  <c r="O217" i="10"/>
  <c r="E217" i="10" s="1"/>
  <c r="P217" i="10"/>
  <c r="P241" i="10"/>
  <c r="O241" i="10"/>
  <c r="E241" i="10" s="1"/>
  <c r="P265" i="10"/>
  <c r="O265" i="10"/>
  <c r="E265" i="10" s="1"/>
  <c r="P257" i="10"/>
  <c r="O257" i="10"/>
  <c r="E257" i="10" s="1"/>
  <c r="O201" i="10"/>
  <c r="E201" i="10" s="1"/>
  <c r="P201" i="10"/>
  <c r="H34" i="5"/>
  <c r="N30" i="5"/>
  <c r="L71" i="5"/>
  <c r="R70" i="5" s="1"/>
  <c r="D14" i="5"/>
  <c r="D29" i="5" s="1"/>
  <c r="S14" i="5"/>
  <c r="O249" i="10"/>
  <c r="E249" i="10" s="1"/>
  <c r="P249" i="10"/>
  <c r="O273" i="10"/>
  <c r="E273" i="10" s="1"/>
  <c r="P273" i="10"/>
  <c r="O281" i="10"/>
  <c r="E281" i="10" s="1"/>
  <c r="P281" i="10"/>
  <c r="P213" i="10"/>
  <c r="O213" i="10"/>
  <c r="E213" i="10" s="1"/>
  <c r="N16" i="5"/>
  <c r="S16" i="5" s="1"/>
  <c r="N27" i="5"/>
  <c r="N34" i="5" s="1"/>
  <c r="P269" i="10"/>
  <c r="O269" i="10"/>
  <c r="E269" i="10" s="1"/>
  <c r="S8" i="5"/>
  <c r="P193" i="10"/>
  <c r="O193" i="10"/>
  <c r="E193" i="10" s="1"/>
  <c r="H24" i="11"/>
  <c r="A1" i="26"/>
  <c r="L23" i="5"/>
  <c r="L69" i="5"/>
  <c r="H35" i="5"/>
  <c r="P177" i="10"/>
  <c r="O177" i="10"/>
  <c r="P181" i="10"/>
  <c r="O181" i="10"/>
  <c r="P189" i="10"/>
  <c r="O189" i="10"/>
  <c r="O209" i="10"/>
  <c r="E209" i="10" s="1"/>
  <c r="P209" i="10"/>
  <c r="P221" i="10"/>
  <c r="O221" i="10"/>
  <c r="E221" i="10" s="1"/>
  <c r="S10" i="5"/>
  <c r="P197" i="10"/>
  <c r="O197" i="10"/>
  <c r="E197" i="10" s="1"/>
  <c r="O185" i="10"/>
  <c r="E185" i="10" s="1"/>
  <c r="E552" i="10" s="1"/>
  <c r="P185" i="10"/>
  <c r="O205" i="10"/>
  <c r="E205" i="10" s="1"/>
  <c r="P205" i="10"/>
  <c r="O237" i="10"/>
  <c r="E237" i="10" s="1"/>
  <c r="P237" i="10"/>
  <c r="H36" i="5" l="1"/>
  <c r="L72" i="5"/>
  <c r="D556" i="10"/>
  <c r="D554" i="10"/>
  <c r="D16" i="5"/>
  <c r="D51" i="5"/>
  <c r="L53" i="5" s="1"/>
  <c r="D34" i="5"/>
  <c r="D52" i="5"/>
</calcChain>
</file>

<file path=xl/sharedStrings.xml><?xml version="1.0" encoding="utf-8"?>
<sst xmlns="http://schemas.openxmlformats.org/spreadsheetml/2006/main" count="4059" uniqueCount="771">
  <si>
    <t xml:space="preserve">   STATE VOTED ISSUES</t>
  </si>
  <si>
    <t>Lafayette Village Apts</t>
  </si>
  <si>
    <t>Southeast Texas HFC</t>
  </si>
  <si>
    <t>PRIORITY 2</t>
  </si>
  <si>
    <t>Mesquite</t>
  </si>
  <si>
    <t>Holiday Forest Apts</t>
  </si>
  <si>
    <t>Crescent Village</t>
  </si>
  <si>
    <t xml:space="preserve">    RESIDENTIAL RENTAL PROJECTS</t>
  </si>
  <si>
    <t xml:space="preserve">     </t>
  </si>
  <si>
    <t xml:space="preserve">  </t>
  </si>
  <si>
    <t>Graugnard Place</t>
  </si>
  <si>
    <t>IDBs</t>
  </si>
  <si>
    <t>Reading Road Apts</t>
  </si>
  <si>
    <t>TWDB</t>
  </si>
  <si>
    <t xml:space="preserve">REGION 1 </t>
  </si>
  <si>
    <t>Circle S Apts</t>
  </si>
  <si>
    <t>Laredo HFC</t>
  </si>
  <si>
    <t>West Oaks/Finlay III</t>
  </si>
  <si>
    <t>Quebec Three Apts</t>
  </si>
  <si>
    <t>CERTIFIED</t>
  </si>
  <si>
    <t>Waxahachie</t>
  </si>
  <si>
    <t>UPDATE</t>
  </si>
  <si>
    <t>Odessa HFC</t>
  </si>
  <si>
    <t>Friendswood</t>
  </si>
  <si>
    <t>Rosenberg</t>
  </si>
  <si>
    <t>TOTALS</t>
  </si>
  <si>
    <t>Leander</t>
  </si>
  <si>
    <t>City of Dallas HFC</t>
  </si>
  <si>
    <t xml:space="preserve"> </t>
  </si>
  <si>
    <t>Bellfort Pines Apts</t>
  </si>
  <si>
    <t xml:space="preserve">RESERVED </t>
  </si>
  <si>
    <t>June Forest Apts</t>
  </si>
  <si>
    <t>College Station</t>
  </si>
  <si>
    <t>San Antonio</t>
  </si>
  <si>
    <t>DATE</t>
  </si>
  <si>
    <t>Baytown/Finlay I</t>
  </si>
  <si>
    <t>Houston HFC</t>
  </si>
  <si>
    <t>Available</t>
  </si>
  <si>
    <t>Austin HFC</t>
  </si>
  <si>
    <t>Southern Oaks</t>
  </si>
  <si>
    <t>Bluffview Apts</t>
  </si>
  <si>
    <t>REGION 7</t>
  </si>
  <si>
    <t>REGION 8A</t>
  </si>
  <si>
    <t>SUBCEILING #4</t>
  </si>
  <si>
    <t>Fort Worth</t>
  </si>
  <si>
    <t>Glade Corners Retirement Community</t>
  </si>
  <si>
    <t>Lubbock HFC</t>
  </si>
  <si>
    <t>South Bay Partners, Ltd.</t>
  </si>
  <si>
    <t>San Antonio Alternative Hsg</t>
  </si>
  <si>
    <t>Palms Apts</t>
  </si>
  <si>
    <t>Brook Hollow Apts</t>
  </si>
  <si>
    <t>Brittmore Apts</t>
  </si>
  <si>
    <t>TDHCA (1/3) =</t>
  </si>
  <si>
    <t>Sugar Creek Apts</t>
  </si>
  <si>
    <t>Concho Valley HFC</t>
  </si>
  <si>
    <t>Skyway Villas</t>
  </si>
  <si>
    <t>Newport Apts</t>
  </si>
  <si>
    <t>Timbercreek</t>
  </si>
  <si>
    <t>Fort Worth/Finlay I</t>
  </si>
  <si>
    <t>Water Projects</t>
  </si>
  <si>
    <t>Pineywoods HFC</t>
  </si>
  <si>
    <t>Denton County HFC</t>
  </si>
  <si>
    <t>North Park Apts West</t>
  </si>
  <si>
    <t>Green Crest Apts</t>
  </si>
  <si>
    <t>Capital Area HFC</t>
  </si>
  <si>
    <t>Housing Options, Inc.</t>
  </si>
  <si>
    <t>Oakwood Village</t>
  </si>
  <si>
    <t>TDHCA - MF</t>
  </si>
  <si>
    <t>REGION 2</t>
  </si>
  <si>
    <t>North Central Texas HFC</t>
  </si>
  <si>
    <t>Hillside Apts</t>
  </si>
  <si>
    <t>Copper Trace Apts</t>
  </si>
  <si>
    <t>Central City Apts</t>
  </si>
  <si>
    <t>Winchester Woods Apts</t>
  </si>
  <si>
    <t xml:space="preserve">RESERVATION </t>
  </si>
  <si>
    <t>Sun Forest Apts</t>
  </si>
  <si>
    <t>LOCALS  =</t>
  </si>
  <si>
    <t>Colorado Crossings Apts</t>
  </si>
  <si>
    <t>Tarrant County HFC</t>
  </si>
  <si>
    <t>Trail Glen Apts</t>
  </si>
  <si>
    <t>Oak Hollow</t>
  </si>
  <si>
    <t>Southgate Village Apts</t>
  </si>
  <si>
    <t>HFC of Ennis</t>
  </si>
  <si>
    <t>Mesquite/Finlay III</t>
  </si>
  <si>
    <t>SUBCEILING #5</t>
  </si>
  <si>
    <t>Parker Lane Apts</t>
  </si>
  <si>
    <t>Veranda Apts</t>
  </si>
  <si>
    <t>Pecan Creek Apts</t>
  </si>
  <si>
    <t>TOTAL</t>
  </si>
  <si>
    <t>West Virginia Apts</t>
  </si>
  <si>
    <t>Southridge Apts</t>
  </si>
  <si>
    <t>All Other</t>
  </si>
  <si>
    <t>Monticello Seniors Community</t>
  </si>
  <si>
    <t>Millstone Apts</t>
  </si>
  <si>
    <t>Reed Road North Apts</t>
  </si>
  <si>
    <t>LOT #</t>
  </si>
  <si>
    <t>Dallas</t>
  </si>
  <si>
    <t>Grand Prairie HFC</t>
  </si>
  <si>
    <t>Ambassador North Apts</t>
  </si>
  <si>
    <t>Copperwood Ranch Apts</t>
  </si>
  <si>
    <t>Lincoln Green Apts</t>
  </si>
  <si>
    <t>until June 1</t>
  </si>
  <si>
    <t>DEADLINE</t>
  </si>
  <si>
    <t xml:space="preserve">TOTALS </t>
  </si>
  <si>
    <t>Riverside Meadows</t>
  </si>
  <si>
    <t>Perry Villas</t>
  </si>
  <si>
    <t>Serena Bay Club Apts</t>
  </si>
  <si>
    <t>Local HFC's MF</t>
  </si>
  <si>
    <t>Central Texas HEA</t>
  </si>
  <si>
    <t>Panhandle Plains HEA</t>
  </si>
  <si>
    <t>Windemere Estates</t>
  </si>
  <si>
    <t>SUBCEILING #1</t>
  </si>
  <si>
    <t>West Central Texas Regional HFC</t>
  </si>
  <si>
    <t>Coastal Bend HFC</t>
  </si>
  <si>
    <t>Sherwood Hills</t>
  </si>
  <si>
    <t>Ewing Villas Apts</t>
  </si>
  <si>
    <t>Montgomery Trace Apts</t>
  </si>
  <si>
    <t>Hampton Villas</t>
  </si>
  <si>
    <t>Alvin</t>
  </si>
  <si>
    <t>PRIORITY 1</t>
  </si>
  <si>
    <t>Chandler's Cove Apts</t>
  </si>
  <si>
    <t>Oak Hill Senior Apts</t>
  </si>
  <si>
    <t>Greensmark</t>
  </si>
  <si>
    <t>Hafer/1960</t>
  </si>
  <si>
    <t>Harris Co HFC</t>
  </si>
  <si>
    <t>Arlington</t>
  </si>
  <si>
    <t>Terrell</t>
  </si>
  <si>
    <t>Cleburne</t>
  </si>
  <si>
    <t>Denton</t>
  </si>
  <si>
    <t>Conroe</t>
  </si>
  <si>
    <t>Austin</t>
  </si>
  <si>
    <t>01-211</t>
  </si>
  <si>
    <t>Steeplechase Townhomes</t>
  </si>
  <si>
    <t>Mesquite/Finlay I</t>
  </si>
  <si>
    <t>Mesquite/Finlay II</t>
  </si>
  <si>
    <t>Deer Springs Senior Community</t>
  </si>
  <si>
    <t>Galveston County HFC</t>
  </si>
  <si>
    <t xml:space="preserve">180-DAY </t>
  </si>
  <si>
    <t>Jefferson County HFC</t>
  </si>
  <si>
    <t>Gates of Galilee Apts</t>
  </si>
  <si>
    <t>Parkside Terrace Apts</t>
  </si>
  <si>
    <t>Rayford North Apts</t>
  </si>
  <si>
    <t>Quebec Four Apts</t>
  </si>
  <si>
    <t>Temple Trace Apts</t>
  </si>
  <si>
    <t>Creekside Hills Apts</t>
  </si>
  <si>
    <t>Stone Hearst</t>
  </si>
  <si>
    <t>Millstone Apts I</t>
  </si>
  <si>
    <t>Science Park II Apts</t>
  </si>
  <si>
    <t xml:space="preserve">RELEASE/ </t>
  </si>
  <si>
    <t>Rustling Leaves Apts</t>
  </si>
  <si>
    <t>Ennis</t>
  </si>
  <si>
    <t>REQUESTED</t>
  </si>
  <si>
    <t>McKinney</t>
  </si>
  <si>
    <t>Summerville Villas</t>
  </si>
  <si>
    <t>AVAILABLE ALLOCATION</t>
  </si>
  <si>
    <t xml:space="preserve">   STUDENT LOAN BONDS</t>
  </si>
  <si>
    <t>TDHCA</t>
  </si>
  <si>
    <t>Maxey Village Apts</t>
  </si>
  <si>
    <t xml:space="preserve">SUBCEILING #3 </t>
  </si>
  <si>
    <t>Available 8/15/2001</t>
  </si>
  <si>
    <t>State Voted</t>
  </si>
  <si>
    <t>REGION 9</t>
  </si>
  <si>
    <t>REGION 5</t>
  </si>
  <si>
    <t>REGION 4</t>
  </si>
  <si>
    <t>metro</t>
  </si>
  <si>
    <t>non-metro</t>
  </si>
  <si>
    <t>Panhandle Regional HFC</t>
  </si>
  <si>
    <t>River Glen at Champions Crossing</t>
  </si>
  <si>
    <t>ALLOCATION</t>
  </si>
  <si>
    <t>Bailey's Landing</t>
  </si>
  <si>
    <t>Quebec Two Apts</t>
  </si>
  <si>
    <t>Ascot Park Townhomes</t>
  </si>
  <si>
    <t>North Central TX HFC</t>
  </si>
  <si>
    <t>01-024</t>
  </si>
  <si>
    <t>RELEASE/</t>
  </si>
  <si>
    <t>Mesquite Senior Apt Community</t>
  </si>
  <si>
    <t>withdrawn</t>
  </si>
  <si>
    <t xml:space="preserve">Cumlative </t>
  </si>
  <si>
    <t>Total</t>
  </si>
  <si>
    <t xml:space="preserve">Remaining </t>
  </si>
  <si>
    <t>Currently</t>
  </si>
  <si>
    <t>Silverton Apts</t>
  </si>
  <si>
    <t>Lubbock</t>
  </si>
  <si>
    <t>Katy</t>
  </si>
  <si>
    <t>The Gables on McKinney St Apts</t>
  </si>
  <si>
    <t>UNSATISFIED REQUESTS</t>
  </si>
  <si>
    <t>North Park Apts I</t>
  </si>
  <si>
    <t>Destiny Place Apts</t>
  </si>
  <si>
    <t xml:space="preserve">   ALL OTHER ISSUES</t>
  </si>
  <si>
    <t>Terrell Senior Terraces Phase II</t>
  </si>
  <si>
    <t>Ennis Senior Estates</t>
  </si>
  <si>
    <t>Ranch View Apts</t>
  </si>
  <si>
    <t>Collin County HFC</t>
  </si>
  <si>
    <t>Fallbrook Apts</t>
  </si>
  <si>
    <t>Cielito Lindo Apts</t>
  </si>
  <si>
    <t>Bent Tree Apts</t>
  </si>
  <si>
    <t>South Texas HEA</t>
  </si>
  <si>
    <t>ISSUER</t>
  </si>
  <si>
    <t>Quebec One Apts</t>
  </si>
  <si>
    <t>Courtyards at Pecan Downs</t>
  </si>
  <si>
    <t>Jessamine Apts</t>
  </si>
  <si>
    <t>Concord Hills Apts</t>
  </si>
  <si>
    <t>The Corinthian Apts</t>
  </si>
  <si>
    <t>Montgomery Cnty HFC</t>
  </si>
  <si>
    <t>Baytown</t>
  </si>
  <si>
    <t>Brazos County HFC</t>
  </si>
  <si>
    <t>Starcrest Apts</t>
  </si>
  <si>
    <t>LOT#</t>
  </si>
  <si>
    <t>Roseland Fellowship LP</t>
  </si>
  <si>
    <t>Embrey/Uvalde</t>
  </si>
  <si>
    <t>New Braunfels</t>
  </si>
  <si>
    <t>Pflugerville</t>
  </si>
  <si>
    <t>O'Connor Road Apts</t>
  </si>
  <si>
    <t>Cobblestone Townhomes</t>
  </si>
  <si>
    <t>Pioneer Villas Apts</t>
  </si>
  <si>
    <t>DOCKET#</t>
  </si>
  <si>
    <t>Westchester Woods Apts</t>
  </si>
  <si>
    <t>MRB's</t>
  </si>
  <si>
    <t>35-DAY</t>
  </si>
  <si>
    <t>Swan's Landing</t>
  </si>
  <si>
    <t>Greens Road Apts</t>
  </si>
  <si>
    <t>North Texas HEA</t>
  </si>
  <si>
    <t>San Antonio HFC</t>
  </si>
  <si>
    <t>SUBCEILING #6</t>
  </si>
  <si>
    <t>Hays Villas</t>
  </si>
  <si>
    <t>Rayford Southeast Apts</t>
  </si>
  <si>
    <t>The HFC of Terrell, TX</t>
  </si>
  <si>
    <t>Pearsall Road</t>
  </si>
  <si>
    <t>Wildwood Branch Apts</t>
  </si>
  <si>
    <t>The Meridian</t>
  </si>
  <si>
    <t>Bexar County HFC</t>
  </si>
  <si>
    <t>Stonebridge Apts</t>
  </si>
  <si>
    <t>Houston</t>
  </si>
  <si>
    <t>Rayford East Apts</t>
  </si>
  <si>
    <t xml:space="preserve">    MORTGAGE REVENUE BONDS</t>
  </si>
  <si>
    <t>Brazos HEA</t>
  </si>
  <si>
    <t>Woodland Point Apts</t>
  </si>
  <si>
    <t>Clear Brook Apts</t>
  </si>
  <si>
    <t>Hickerson Street Apts</t>
  </si>
  <si>
    <t>Cullen Park Apts</t>
  </si>
  <si>
    <t>TAFA (1/3) =</t>
  </si>
  <si>
    <t xml:space="preserve"> QUALIFIED SMALL ISSUE </t>
  </si>
  <si>
    <t>STATUS</t>
  </si>
  <si>
    <t>Applegate Villas</t>
  </si>
  <si>
    <t>South Congress Apts</t>
  </si>
  <si>
    <t>Greenville</t>
  </si>
  <si>
    <t>UTILIZATION</t>
  </si>
  <si>
    <t>ELLIGIBLE</t>
  </si>
  <si>
    <t>Reed Road South Apts</t>
  </si>
  <si>
    <t>Student Loan</t>
  </si>
  <si>
    <t>Travis County HFC</t>
  </si>
  <si>
    <t>REGION 6</t>
  </si>
  <si>
    <t xml:space="preserve">120-DAY </t>
  </si>
  <si>
    <t>Fuqua Apts</t>
  </si>
  <si>
    <t>Palomino Place Apts</t>
  </si>
  <si>
    <t xml:space="preserve">not </t>
  </si>
  <si>
    <t xml:space="preserve">    REGION 3</t>
  </si>
  <si>
    <t>REGION 10</t>
  </si>
  <si>
    <t>Rayford Apts</t>
  </si>
  <si>
    <t>AMOUNT</t>
  </si>
  <si>
    <t>Golden Years Properties</t>
  </si>
  <si>
    <t>REGION 8B</t>
  </si>
  <si>
    <t>Knollwood Villas</t>
  </si>
  <si>
    <t>Park Row Apts</t>
  </si>
  <si>
    <t>In-Line</t>
  </si>
  <si>
    <t>Harris County HFC</t>
  </si>
  <si>
    <t>Laredo</t>
  </si>
  <si>
    <t>RELEASED</t>
  </si>
  <si>
    <t>LOCATION</t>
  </si>
  <si>
    <t>Houston Lake Pointe</t>
  </si>
  <si>
    <t>PERCENTAGE</t>
  </si>
  <si>
    <t>Park Village Apts</t>
  </si>
  <si>
    <t>Willow Bend Villas</t>
  </si>
  <si>
    <t>Round Rock</t>
  </si>
  <si>
    <t>Grapevine</t>
  </si>
  <si>
    <t>Cedar Park</t>
  </si>
  <si>
    <t>East Texas HFC</t>
  </si>
  <si>
    <t>Bluffview Senior</t>
  </si>
  <si>
    <t xml:space="preserve">SUBCEILING #2 </t>
  </si>
  <si>
    <t>Crown Meadow Apts</t>
  </si>
  <si>
    <t>Beaumont</t>
  </si>
  <si>
    <t>or</t>
  </si>
  <si>
    <t>PROJECT</t>
  </si>
  <si>
    <t>San Marcos</t>
  </si>
  <si>
    <t>The Arbors at Creekside Apts</t>
  </si>
  <si>
    <t>New Braunfels HFC</t>
  </si>
  <si>
    <t>Rosedale Community</t>
  </si>
  <si>
    <t>Blunn Creek Apts</t>
  </si>
  <si>
    <t>Cobb Park Townhomes</t>
  </si>
  <si>
    <t>South Plains HFC</t>
  </si>
  <si>
    <t>TSAHC=</t>
  </si>
  <si>
    <t>REQUESTS TO DATE</t>
  </si>
  <si>
    <t xml:space="preserve"> RESERVATIONS TO DATE</t>
  </si>
  <si>
    <t xml:space="preserve"> ALLOCATIONS TO DATE</t>
  </si>
  <si>
    <t>RESERVATIONS RELEASED</t>
  </si>
  <si>
    <t>Northeast Texas HFC</t>
  </si>
  <si>
    <t>na</t>
  </si>
  <si>
    <t>Jefferson Co. HFC</t>
  </si>
  <si>
    <t xml:space="preserve">STATUS OF 2003 ALLOCATION PROGRAM AS OF </t>
  </si>
  <si>
    <t xml:space="preserve">2003 STATE CEILING </t>
  </si>
  <si>
    <t>IN-LINE</t>
  </si>
  <si>
    <t>Northwest Central Texas Housing Finance Corp.</t>
  </si>
  <si>
    <t>Alamo Area HFC c/o Alamo Area COG</t>
  </si>
  <si>
    <t>NA</t>
  </si>
  <si>
    <t>so</t>
  </si>
  <si>
    <t>No applicants</t>
  </si>
  <si>
    <t>Mesquite IDC</t>
  </si>
  <si>
    <t>Trio Industries Holdings</t>
  </si>
  <si>
    <t>Wichita County IDC</t>
  </si>
  <si>
    <t>Covercraft Industries</t>
  </si>
  <si>
    <t>Port of Corpus Christi Authority of Nueces Co.</t>
  </si>
  <si>
    <t>Flint Hills Resources</t>
  </si>
  <si>
    <t>Gulf Coast IDA</t>
  </si>
  <si>
    <t>BP Global Power Corp.</t>
  </si>
  <si>
    <t>Port of Port Arthur Navigation Dist. of Jefferson Co.</t>
  </si>
  <si>
    <t>BP Amoco Chemical Co.</t>
  </si>
  <si>
    <t>Gulf Coast Waste Disposal Authority</t>
  </si>
  <si>
    <t>Waste Management of Texas</t>
  </si>
  <si>
    <t>Brazos River Harbor Navigation Dist. of Brazoria County</t>
  </si>
  <si>
    <t>BASF Corp</t>
  </si>
  <si>
    <t>Exxon Mobil Corporation</t>
  </si>
  <si>
    <t>CNA Holdings, Inc.</t>
  </si>
  <si>
    <t>Brazos River Authority</t>
  </si>
  <si>
    <t>TXU Energy Company</t>
  </si>
  <si>
    <t>Hale County IDC</t>
  </si>
  <si>
    <t>Brandon Bouma</t>
  </si>
  <si>
    <t>The Dow Chemical Co.</t>
  </si>
  <si>
    <t>BP Products North America, Inc.</t>
  </si>
  <si>
    <t>American Acryl L.P.</t>
  </si>
  <si>
    <t>IDC of Port of Corpus Christi</t>
  </si>
  <si>
    <t>CITGO Petroleum Corp.</t>
  </si>
  <si>
    <t>Dura Therm, Inc.</t>
  </si>
  <si>
    <t>Lower Neches Valley Authority IDC</t>
  </si>
  <si>
    <t>Onyx Environmental Services</t>
  </si>
  <si>
    <t>Harris County IDC</t>
  </si>
  <si>
    <t>Deer Park Refining Ltd Partnership</t>
  </si>
  <si>
    <t>Phillips Petroleum Co.</t>
  </si>
  <si>
    <t>Jewett EDC</t>
  </si>
  <si>
    <t>Nucor Corporation</t>
  </si>
  <si>
    <t>Waste Corporation of Texas</t>
  </si>
  <si>
    <t>CNA Holdings</t>
  </si>
  <si>
    <t>Port Arthur Navigation District IDC</t>
  </si>
  <si>
    <t>The Premcor Refining Group</t>
  </si>
  <si>
    <t>Corpus Christi</t>
  </si>
  <si>
    <t>Texas City, TX</t>
  </si>
  <si>
    <t>Port Arthur, TX</t>
  </si>
  <si>
    <t>Pasadena</t>
  </si>
  <si>
    <t>Lewisville, TX</t>
  </si>
  <si>
    <t>Freeport, TX</t>
  </si>
  <si>
    <t>Baytown, TX</t>
  </si>
  <si>
    <t>Pasadena, TX</t>
  </si>
  <si>
    <t>Plainview, TX</t>
  </si>
  <si>
    <t>Alvin, TX</t>
  </si>
  <si>
    <t>Austin, TX</t>
  </si>
  <si>
    <t>Corpus Christi, TX</t>
  </si>
  <si>
    <t>San Leon, TX</t>
  </si>
  <si>
    <t>Deer Park, TX</t>
  </si>
  <si>
    <t>Brazoria, TX</t>
  </si>
  <si>
    <t>Jewett, TX</t>
  </si>
  <si>
    <t>Bishop, TX</t>
  </si>
  <si>
    <t>Sphinx at Murdeaux</t>
  </si>
  <si>
    <t>Dallas, TX</t>
  </si>
  <si>
    <t>Primrose Houston School</t>
  </si>
  <si>
    <t>Lancaster, TX</t>
  </si>
  <si>
    <t>Meadow Crossing Annex</t>
  </si>
  <si>
    <t>Mesquite, TX</t>
  </si>
  <si>
    <t>Magnolia Park Apts</t>
  </si>
  <si>
    <t>Fort Worth, TX</t>
  </si>
  <si>
    <t>Hillery Garden Villas</t>
  </si>
  <si>
    <t>Burleson, TX</t>
  </si>
  <si>
    <t>Arbor Bend Villas</t>
  </si>
  <si>
    <t>Alsbury Place</t>
  </si>
  <si>
    <t>West Virginia Apts.</t>
  </si>
  <si>
    <t>Primrose Langdon</t>
  </si>
  <si>
    <t>Stonebrook Villas</t>
  </si>
  <si>
    <t>McKinney, TX</t>
  </si>
  <si>
    <t>Fountain Circle</t>
  </si>
  <si>
    <t>Center Square Villas</t>
  </si>
  <si>
    <t>Timber Oaks Apts.</t>
  </si>
  <si>
    <t>Grand Prairie, TX</t>
  </si>
  <si>
    <t>Mesa Villas</t>
  </si>
  <si>
    <t>Houston, TX</t>
  </si>
  <si>
    <t>Johnny Morris Apts.</t>
  </si>
  <si>
    <t>The Peninsula Apts.</t>
  </si>
  <si>
    <t>Primrose Hickory</t>
  </si>
  <si>
    <t>Frisco, TX</t>
  </si>
  <si>
    <t>Freeway Villas</t>
  </si>
  <si>
    <t>Mesquite Senior Apartment Community</t>
  </si>
  <si>
    <t>100 May Development</t>
  </si>
  <si>
    <t>Greystone Ridge Apts.</t>
  </si>
  <si>
    <t>8100 Crowley Development</t>
  </si>
  <si>
    <t>Parks at Riverplace</t>
  </si>
  <si>
    <t>Sphinx at Oakwood Villas</t>
  </si>
  <si>
    <t>Meadow Crossing</t>
  </si>
  <si>
    <t>Arlington, TX</t>
  </si>
  <si>
    <t>Wylie Senior Apartment Community</t>
  </si>
  <si>
    <t>Wylie, TX</t>
  </si>
  <si>
    <t>Primrose Mesquite I</t>
  </si>
  <si>
    <t>51 Keeneland Development</t>
  </si>
  <si>
    <t>Martindale Villas</t>
  </si>
  <si>
    <t>Green Pines II Apts.</t>
  </si>
  <si>
    <t>Riverbend Apts.</t>
  </si>
  <si>
    <t>West Point Two Apts.</t>
  </si>
  <si>
    <t>Highland Apts.</t>
  </si>
  <si>
    <t>FM1960 Apts.</t>
  </si>
  <si>
    <t>Fallbrook Belt 8 Apts.</t>
  </si>
  <si>
    <t>AlBender West Apts</t>
  </si>
  <si>
    <t>Parkview Townhomes</t>
  </si>
  <si>
    <t>Timber Ridge II</t>
  </si>
  <si>
    <t>Ashford Pointe Development</t>
  </si>
  <si>
    <t>West Point One Apts.</t>
  </si>
  <si>
    <t>Yager One Apts.</t>
  </si>
  <si>
    <t>Century Park Apartments</t>
  </si>
  <si>
    <t>Sundown Village</t>
  </si>
  <si>
    <t>Katy, TX</t>
  </si>
  <si>
    <t>Addison  Park Apts.</t>
  </si>
  <si>
    <t>Sycamore Creek Park One Apts.</t>
  </si>
  <si>
    <t>Sycamore Creek Park Two Apts.</t>
  </si>
  <si>
    <t>Wittershaw Apts.</t>
  </si>
  <si>
    <t>North Vista Apartments</t>
  </si>
  <si>
    <t>Yager Two Apts.</t>
  </si>
  <si>
    <t>Derby House</t>
  </si>
  <si>
    <t>Surrey Station</t>
  </si>
  <si>
    <t>Pflugerville, TX</t>
  </si>
  <si>
    <t>Humble Parkway Apts.</t>
  </si>
  <si>
    <t>Median Way Park Apts.</t>
  </si>
  <si>
    <t>Main Street Apts</t>
  </si>
  <si>
    <t>Granbury Park Apts.</t>
  </si>
  <si>
    <t>Brookglen Park Apartments</t>
  </si>
  <si>
    <t>Alemeda Apartments</t>
  </si>
  <si>
    <t>Stuebner One Apts.</t>
  </si>
  <si>
    <t>Walters Apts.</t>
  </si>
  <si>
    <t>Parmer Park Apts.</t>
  </si>
  <si>
    <t>Peppertree Apts.</t>
  </si>
  <si>
    <t>Rosenberg, TX</t>
  </si>
  <si>
    <t>Pineview Townhomes</t>
  </si>
  <si>
    <t>AlBender East Apts</t>
  </si>
  <si>
    <t>Bellfort Village Apartments</t>
  </si>
  <si>
    <t>Eagle Glen Apts.</t>
  </si>
  <si>
    <t>Goose Creek Apts.</t>
  </si>
  <si>
    <t>Meadow Brook Apts</t>
  </si>
  <si>
    <t>Amber Ridge Apts</t>
  </si>
  <si>
    <t>Kyle, TX</t>
  </si>
  <si>
    <t>Cooks Lane Park Apts.</t>
  </si>
  <si>
    <t>Waterford Park Apts.</t>
  </si>
  <si>
    <t>Lincoln Park Apts</t>
  </si>
  <si>
    <t>Park 10 Barker Cypress Apts.</t>
  </si>
  <si>
    <t>Kensington Apts.</t>
  </si>
  <si>
    <t>Woodline park Apts.</t>
  </si>
  <si>
    <t>Wood Hollow Apts.</t>
  </si>
  <si>
    <t>Cedar Park, TX</t>
  </si>
  <si>
    <t>Parkside Village Apts</t>
  </si>
  <si>
    <t>Brookglen Village Apartments</t>
  </si>
  <si>
    <t>Lake June Park Apts.</t>
  </si>
  <si>
    <t>West Montgomery Apts.</t>
  </si>
  <si>
    <t>Park at Steeplechase</t>
  </si>
  <si>
    <t>Bagdad Park Apartments</t>
  </si>
  <si>
    <t>Leander, TX</t>
  </si>
  <si>
    <t>Chapel Creek Park One Apts.</t>
  </si>
  <si>
    <t>Chapel Creek Park Two Apts.</t>
  </si>
  <si>
    <t>Stafford Apts.</t>
  </si>
  <si>
    <t>Coughtrey Estates</t>
  </si>
  <si>
    <t>Southpark Apts.</t>
  </si>
  <si>
    <t>Austin,TX</t>
  </si>
  <si>
    <t>Silver Spring Apts</t>
  </si>
  <si>
    <t>The Vines Apts.</t>
  </si>
  <si>
    <t>McCart Park Apts.</t>
  </si>
  <si>
    <t>Vista Pointe @ The Quarry</t>
  </si>
  <si>
    <t>Stuebner Two Apts.</t>
  </si>
  <si>
    <t>Asbury Park Apartments</t>
  </si>
  <si>
    <t>Deerbrook One Apts.</t>
  </si>
  <si>
    <t>John West Park Apts</t>
  </si>
  <si>
    <t>West Point Three Apts.</t>
  </si>
  <si>
    <t>Groeschke Apts</t>
  </si>
  <si>
    <t>Residences at Wolflin Park</t>
  </si>
  <si>
    <t>Amarillo, TX</t>
  </si>
  <si>
    <t>Castle Garden Apts</t>
  </si>
  <si>
    <t>Lubbock, TX</t>
  </si>
  <si>
    <t>West Amarillo Senior Housing</t>
  </si>
  <si>
    <t>Cypress View Villas</t>
  </si>
  <si>
    <t>Weatherford, Tx.</t>
  </si>
  <si>
    <t>The Oaks IIl</t>
  </si>
  <si>
    <t>Quail Creek North</t>
  </si>
  <si>
    <t>Denton, TX</t>
  </si>
  <si>
    <t>Timber Creek</t>
  </si>
  <si>
    <t>The Oaks II</t>
  </si>
  <si>
    <t>2000 Sycamore Development</t>
  </si>
  <si>
    <t>3000 Alemeda Development</t>
  </si>
  <si>
    <t>Continental Terrace Apts.</t>
  </si>
  <si>
    <t>Hickory Creek D Housing_x000B_</t>
  </si>
  <si>
    <t>Primrose at Legendary Lane</t>
  </si>
  <si>
    <t>Primose Langdon II</t>
  </si>
  <si>
    <t>Primrose Houston School II</t>
  </si>
  <si>
    <t>Brook Hollow Town Homes</t>
  </si>
  <si>
    <t>Ennis, TX</t>
  </si>
  <si>
    <t xml:space="preserve">Ennis Senior Estates </t>
  </si>
  <si>
    <t>Hickory Creek A  Housing_x000B_</t>
  </si>
  <si>
    <t>Villas of St. Augustine</t>
  </si>
  <si>
    <t>Preakness Ranch Seniors</t>
  </si>
  <si>
    <t>Quail Creek South</t>
  </si>
  <si>
    <t>1100 Sycamore Development</t>
  </si>
  <si>
    <t>Stagecoach Villas</t>
  </si>
  <si>
    <t>Willow Park, TX</t>
  </si>
  <si>
    <t>Parks at Prairie Creek</t>
  </si>
  <si>
    <t>Mission Verde Ranch Seniors</t>
  </si>
  <si>
    <t>Hickory Creek BHousing_x000B_</t>
  </si>
  <si>
    <t>Forest Park Town Homes</t>
  </si>
  <si>
    <t>Waxahachie, TX</t>
  </si>
  <si>
    <t>Ennis Senior Estates  II</t>
  </si>
  <si>
    <t>Wheatland Ranch</t>
  </si>
  <si>
    <t>Valley Ranch Villas Seniors</t>
  </si>
  <si>
    <t>Hickory Creek C Housing_x000B_</t>
  </si>
  <si>
    <t>Bella Vista Apts.</t>
  </si>
  <si>
    <t>Blue Lake at Marine Creek Apts.</t>
  </si>
  <si>
    <t>Haltom Park Apts.</t>
  </si>
  <si>
    <t>Haltom City, TX</t>
  </si>
  <si>
    <t>Waterford Park</t>
  </si>
  <si>
    <t>Longview</t>
  </si>
  <si>
    <t>Primrose Little York Apts.</t>
  </si>
  <si>
    <t>Primrose at Reed Park Apts</t>
  </si>
  <si>
    <t>Selinsky  Villas Apartments</t>
  </si>
  <si>
    <t>Carter Woods Apartments</t>
  </si>
  <si>
    <t>Sycamore Ridge Apts.</t>
  </si>
  <si>
    <t>Kimberly Pointe Apartments</t>
  </si>
  <si>
    <t>Shadow Ridge Apartments</t>
  </si>
  <si>
    <t>Primrose Woods II Apartments</t>
  </si>
  <si>
    <t>Webercrest Villas Apartments</t>
  </si>
  <si>
    <t>Cambury Villas  Apartments</t>
  </si>
  <si>
    <t>Jefferson House Apartments</t>
  </si>
  <si>
    <t>Victory Street Public Facility Corp.</t>
  </si>
  <si>
    <t>Laurel Oaks Apts.</t>
  </si>
  <si>
    <t>Airport l Apartments</t>
  </si>
  <si>
    <t>Richmond Grove Apartments</t>
  </si>
  <si>
    <t>Rushcreek Villas  Apartments</t>
  </si>
  <si>
    <t>North Forest Trails Apartments</t>
  </si>
  <si>
    <t>Vanderlane Villas</t>
  </si>
  <si>
    <t>Primrose Northview Park Apartments</t>
  </si>
  <si>
    <t>Empire Village Apartments</t>
  </si>
  <si>
    <t>Airport IX Apartments</t>
  </si>
  <si>
    <t>Courtney Place Apts</t>
  </si>
  <si>
    <t>Sweetwater Point Apts</t>
  </si>
  <si>
    <t>Longboat Key Apartments</t>
  </si>
  <si>
    <t>The Bristol Apts.</t>
  </si>
  <si>
    <t>Northland Woods Apartments</t>
  </si>
  <si>
    <t>Mesa Road Apts.</t>
  </si>
  <si>
    <t>Waterleaf Place Apartments</t>
  </si>
  <si>
    <t>Ritten Villas  Apartments</t>
  </si>
  <si>
    <t>Meridian Cypresswood Apts</t>
  </si>
  <si>
    <t>Barron Villas</t>
  </si>
  <si>
    <t>Bammel Villas</t>
  </si>
  <si>
    <t>Primrose Skyline Apts</t>
  </si>
  <si>
    <t>Airport V Apartments</t>
  </si>
  <si>
    <t>Parkside Point Apts.</t>
  </si>
  <si>
    <t>Greenlow Villas  Apartments</t>
  </si>
  <si>
    <t>Montgomery County HFC</t>
  </si>
  <si>
    <t>Sawdust Villas</t>
  </si>
  <si>
    <t>Spring,TX</t>
  </si>
  <si>
    <t>Yale Village Apartments</t>
  </si>
  <si>
    <t>Jensen Parker Apts.</t>
  </si>
  <si>
    <t>Sterlingshire Apartments</t>
  </si>
  <si>
    <t>Little York Villas Apartments</t>
  </si>
  <si>
    <t>Orem  Villas Apartments</t>
  </si>
  <si>
    <t>Little York Parc Apts.</t>
  </si>
  <si>
    <t>Jenson Villas Apartments</t>
  </si>
  <si>
    <t>Primrose Woods Apartments</t>
  </si>
  <si>
    <t>Northline Villas Apts.</t>
  </si>
  <si>
    <t>Satsuma Gardens Apts.</t>
  </si>
  <si>
    <t>Jarrod Landing Apartments</t>
  </si>
  <si>
    <t>Avalon Green Apts</t>
  </si>
  <si>
    <t>Jordan Cove Apartments</t>
  </si>
  <si>
    <t>Gessner Villas Apts</t>
  </si>
  <si>
    <t>Kings Row Apartments</t>
  </si>
  <si>
    <t>Primrose at Reed Road Apts</t>
  </si>
  <si>
    <t>Alta Reed Apts</t>
  </si>
  <si>
    <t>AHF-Bayway Townhomes</t>
  </si>
  <si>
    <t>Correy Terrace Apartments</t>
  </si>
  <si>
    <t>Little Nell Apts.</t>
  </si>
  <si>
    <t>Lafayette Village Apts.</t>
  </si>
  <si>
    <t>Gulf Pointe Park Apts.</t>
  </si>
  <si>
    <t>Bayou Willow Apartments</t>
  </si>
  <si>
    <t>Lauren Cove Apartments</t>
  </si>
  <si>
    <t>Wellington Park Apartments</t>
  </si>
  <si>
    <t>Idlewilde Apts.</t>
  </si>
  <si>
    <t>Mayfair Apts.</t>
  </si>
  <si>
    <t>Amber Lakes Apts.</t>
  </si>
  <si>
    <t>Pinnacle Apts.</t>
  </si>
  <si>
    <t>Blueberry Hill Apts.</t>
  </si>
  <si>
    <t>Caspita Apts.</t>
  </si>
  <si>
    <t>Cedar Park Ranch</t>
  </si>
  <si>
    <t>Colorado Station Apts.</t>
  </si>
  <si>
    <t>Smithville, TX</t>
  </si>
  <si>
    <t>Vistas Apts.</t>
  </si>
  <si>
    <t>Marble Falls, TX</t>
  </si>
  <si>
    <t>Trickey Apts.</t>
  </si>
  <si>
    <t>Villas on Sixth Apt. Homes</t>
  </si>
  <si>
    <t xml:space="preserve">Fort Branch Lanidng II </t>
  </si>
  <si>
    <t>Villas at Pecan Crossing</t>
  </si>
  <si>
    <t>Bastrop, TX</t>
  </si>
  <si>
    <t>Highland Oaks Apts.</t>
  </si>
  <si>
    <t>Tech Ridge Villas</t>
  </si>
  <si>
    <t>Fallwell Apts.</t>
  </si>
  <si>
    <t>InterPort Apts.</t>
  </si>
  <si>
    <t>Cherry Mountain Villas</t>
  </si>
  <si>
    <t>Lakeway, TX</t>
  </si>
  <si>
    <t>Shadow Apts.</t>
  </si>
  <si>
    <t>Manor, TX</t>
  </si>
  <si>
    <t>Wurzbach Manor Apts.</t>
  </si>
  <si>
    <t>San Antonio, TX</t>
  </si>
  <si>
    <t>Southside Villas B</t>
  </si>
  <si>
    <t>Southside Villas C</t>
  </si>
  <si>
    <t>Primrose SA West</t>
  </si>
  <si>
    <t>Blue Wing Villas</t>
  </si>
  <si>
    <t>Southside Villas E</t>
  </si>
  <si>
    <t>FDC Mission Ranch</t>
  </si>
  <si>
    <t>Rimrock Villas</t>
  </si>
  <si>
    <t>Primrose SA East</t>
  </si>
  <si>
    <t>Southside Villas D</t>
  </si>
  <si>
    <t>Southside Villas A</t>
  </si>
  <si>
    <t>Southside Villas F</t>
  </si>
  <si>
    <t>Primrose at Jefferson Plaza</t>
  </si>
  <si>
    <t>PRIORITY 3</t>
  </si>
  <si>
    <t>WITHDRAWN</t>
  </si>
  <si>
    <t>The Shire</t>
  </si>
  <si>
    <t>Port Arthur</t>
  </si>
  <si>
    <t>RESERVED</t>
  </si>
  <si>
    <t>THECB</t>
  </si>
  <si>
    <t>BASF Corp/ATOFINA</t>
  </si>
  <si>
    <t>CANCELLED</t>
  </si>
  <si>
    <t>The Dow Chemical Co. Plant A</t>
  </si>
  <si>
    <t>The Dow Chemical Co.-Oyster Creek</t>
  </si>
  <si>
    <t>WITHDREW</t>
  </si>
  <si>
    <t>Walters Apts. Ltd</t>
  </si>
  <si>
    <t>2002 CF</t>
  </si>
  <si>
    <t>CLOSED</t>
  </si>
  <si>
    <t>Pearland 518 Apartments</t>
  </si>
  <si>
    <t>Pearland</t>
  </si>
  <si>
    <t>Reading Rd. Apts.</t>
  </si>
  <si>
    <t>Released</t>
  </si>
  <si>
    <t>Certified</t>
  </si>
  <si>
    <t>Woodway Square Apts.</t>
  </si>
  <si>
    <t xml:space="preserve">2002 CF </t>
  </si>
  <si>
    <t>Corpus Christi HFC (MCCs)</t>
  </si>
  <si>
    <t>Groescke Apts. Ltd</t>
  </si>
  <si>
    <t>North Vista Apts.</t>
  </si>
  <si>
    <t>Houston,</t>
  </si>
  <si>
    <t>Enclave Housing Ltd</t>
  </si>
  <si>
    <t>Cobblestone Townhomes Ltd</t>
  </si>
  <si>
    <t>The Park at Bagdad</t>
  </si>
  <si>
    <t>Metropolitan HFC</t>
  </si>
  <si>
    <t>MetroHFC</t>
  </si>
  <si>
    <t>Travis Park Apts.</t>
  </si>
  <si>
    <t>Amarillo HFC</t>
  </si>
  <si>
    <t>MRBs</t>
  </si>
  <si>
    <t>Primrose Kuykendahl Apts.</t>
  </si>
  <si>
    <t>Harris County</t>
  </si>
  <si>
    <t>Brazos Harbor IDC</t>
  </si>
  <si>
    <t>Cancelled</t>
  </si>
  <si>
    <t>Reserved</t>
  </si>
  <si>
    <t>Withdrawn</t>
  </si>
  <si>
    <t>Primrose Kuykendahl AptsApts.</t>
  </si>
  <si>
    <t>Travis Peak Apts.</t>
  </si>
  <si>
    <t>Lot</t>
  </si>
  <si>
    <t>Docket</t>
  </si>
  <si>
    <t>Issuer</t>
  </si>
  <si>
    <t>Project Name</t>
  </si>
  <si>
    <t>Requested</t>
  </si>
  <si>
    <t>Status</t>
  </si>
  <si>
    <t>Priority</t>
  </si>
  <si>
    <t>Closed</t>
  </si>
  <si>
    <t>-</t>
  </si>
  <si>
    <t>CF022675</t>
  </si>
  <si>
    <t>CF022683</t>
  </si>
  <si>
    <t>CF022656</t>
  </si>
  <si>
    <t>Quail Ridge</t>
  </si>
  <si>
    <t>Midland</t>
  </si>
  <si>
    <t xml:space="preserve"> Midland County HFC</t>
  </si>
  <si>
    <t>The Park Apts</t>
  </si>
  <si>
    <t>Glenwood of Amarillo</t>
  </si>
  <si>
    <t>Southwest Pines</t>
  </si>
  <si>
    <t>Tyler</t>
  </si>
  <si>
    <t>demand q3</t>
  </si>
  <si>
    <t>mfdemand q3</t>
  </si>
  <si>
    <t xml:space="preserve">dollar amount available </t>
  </si>
  <si>
    <t>Mission EDC</t>
  </si>
  <si>
    <t>HTP Rio Grande LP</t>
  </si>
  <si>
    <t>Panhandle Regional HFC (MCCs)</t>
  </si>
  <si>
    <t>Golden Crescent HFC (MCCs)</t>
  </si>
  <si>
    <t>CF022709</t>
  </si>
  <si>
    <t>Colorado County IDC</t>
  </si>
  <si>
    <t>Southwest Concrete</t>
  </si>
  <si>
    <t>CF022686</t>
  </si>
  <si>
    <t>CF022710</t>
  </si>
  <si>
    <t>Robstown IDC</t>
  </si>
  <si>
    <t>Tex-Wave Industries, LP</t>
  </si>
  <si>
    <t>Southern Terrace</t>
  </si>
  <si>
    <t>Ash Creek</t>
  </si>
  <si>
    <t>Ash Creek*</t>
  </si>
  <si>
    <t>full amount closed $15MM</t>
  </si>
  <si>
    <t>CF022716</t>
  </si>
  <si>
    <t>Fort Bend County HFC</t>
  </si>
  <si>
    <t>Hidalgo Willacy HFC</t>
  </si>
  <si>
    <t>with/canc not counted</t>
  </si>
  <si>
    <t>requests</t>
  </si>
  <si>
    <t>released</t>
  </si>
  <si>
    <t>through q4</t>
  </si>
  <si>
    <t>mfdemand q4</t>
  </si>
  <si>
    <t xml:space="preserve">Fort Branch Landing II </t>
  </si>
  <si>
    <t>Providence at Rush Creek II</t>
  </si>
  <si>
    <t>Humble, TX</t>
  </si>
  <si>
    <t>Texoma HFC  (MCCs)</t>
  </si>
  <si>
    <t xml:space="preserve">Willow Park </t>
  </si>
  <si>
    <t>Willow Park</t>
  </si>
  <si>
    <t>Montgomery Co.</t>
  </si>
  <si>
    <t>SLB</t>
  </si>
  <si>
    <t>Woodline Park Apts.</t>
  </si>
  <si>
    <t>TDHCA- MCC 's &amp; MRBs</t>
  </si>
  <si>
    <t>Stuikmans Ramona</t>
  </si>
  <si>
    <t>03CF-0001</t>
  </si>
  <si>
    <t>03CF-0002</t>
  </si>
  <si>
    <t>Gulf Coast WDA</t>
  </si>
  <si>
    <t>Waste Corporation of America</t>
  </si>
  <si>
    <t>03CF-0003</t>
  </si>
  <si>
    <t>Student Loans</t>
  </si>
  <si>
    <t>35-day</t>
  </si>
  <si>
    <t>3 years</t>
  </si>
  <si>
    <t>Providence at Veteran's Memorial</t>
  </si>
  <si>
    <t>Allocated</t>
  </si>
  <si>
    <t>WITHDRAWn</t>
  </si>
  <si>
    <t>req</t>
  </si>
  <si>
    <t>with/canc</t>
  </si>
  <si>
    <t xml:space="preserve">demand </t>
  </si>
  <si>
    <t>CF02 used in 03</t>
  </si>
  <si>
    <t>Traditional carryforwad</t>
  </si>
  <si>
    <t xml:space="preserve">Brazos River Autority </t>
  </si>
  <si>
    <t>CF02-001</t>
  </si>
  <si>
    <t>TXU</t>
  </si>
  <si>
    <t>2003 Cap</t>
  </si>
  <si>
    <t>2002 Carry Forward</t>
  </si>
  <si>
    <t>2002 Carryforward</t>
  </si>
  <si>
    <t>2003 Total</t>
  </si>
  <si>
    <t xml:space="preserve">MF </t>
  </si>
  <si>
    <t>Small IDB</t>
  </si>
  <si>
    <t>Exempt</t>
  </si>
  <si>
    <t>MCCs</t>
  </si>
  <si>
    <t>Closed Only</t>
  </si>
  <si>
    <t>2003 Carry Forward</t>
  </si>
  <si>
    <t>Issued</t>
  </si>
  <si>
    <t>Authorized</t>
  </si>
  <si>
    <t>2003 Ceiling</t>
  </si>
  <si>
    <t>Carryforward to 2003</t>
  </si>
  <si>
    <t>Total Capacity</t>
  </si>
  <si>
    <t>Mortgage Revenue Bonds</t>
  </si>
  <si>
    <t>Multifamily Housing</t>
  </si>
  <si>
    <t>Housing Not Broken out</t>
  </si>
  <si>
    <t>Exempt Facilities</t>
  </si>
  <si>
    <t>Mortgage Credit Certificates</t>
  </si>
  <si>
    <t>Other</t>
  </si>
  <si>
    <t>Carryforward to 2004</t>
  </si>
  <si>
    <t>Carryforward Abandoned</t>
  </si>
  <si>
    <t xml:space="preserve">Originally </t>
  </si>
  <si>
    <t>Reported</t>
  </si>
  <si>
    <t>CF</t>
  </si>
  <si>
    <t>Discrepancy</t>
  </si>
  <si>
    <t>(192.7 million was reported for 2002)</t>
  </si>
  <si>
    <t>Issued and to be Issued</t>
  </si>
  <si>
    <t>Revised</t>
  </si>
  <si>
    <t>MF CF</t>
  </si>
  <si>
    <t>Exempt CF</t>
  </si>
  <si>
    <t>CF (2002)</t>
  </si>
  <si>
    <t>The Park at Sycamore School Apartments</t>
  </si>
  <si>
    <t xml:space="preserve">3.5 million pulled per Monica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</si>
</sst>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&quot;$&quot;#,##0.00"/>
    <numFmt numFmtId="168" formatCode="&quot;$&quot;#,##0"/>
    <numFmt numFmtId="169" formatCode="m/d"/>
    <numFmt numFmtId="170" formatCode="&quot;$&quot;#,##0.0"/>
    <numFmt numFmtId="176" formatCode="mm/dd/yy"/>
    <numFmt numFmtId="189" formatCode="0.0"/>
    <numFmt numFmtId="190" formatCode="0.0000%"/>
  </numFmts>
  <fonts count="10">
    <font>
      <sz val="9"/>
      <name val="Geneva"/>
    </font>
    <font>
      <b/>
      <sz val="9"/>
      <name val="Geneva"/>
    </font>
    <font>
      <sz val="9"/>
      <name val="Geneva"/>
    </font>
    <font>
      <sz val="9"/>
      <name val="Helv"/>
    </font>
    <font>
      <b/>
      <sz val="9"/>
      <name val="Helv"/>
    </font>
    <font>
      <sz val="7"/>
      <name val="Helv"/>
    </font>
    <font>
      <b/>
      <sz val="9"/>
      <color indexed="12"/>
      <name val="Helv"/>
    </font>
    <font>
      <sz val="9"/>
      <name val="Geneva"/>
    </font>
    <font>
      <sz val="8"/>
      <name val="Geneva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1">
    <xf numFmtId="0" fontId="0" fillId="0" borderId="0" xfId="0"/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5" fontId="4" fillId="0" borderId="1" xfId="0" applyNumberFormat="1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5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5" fontId="4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5" fontId="3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5" fontId="3" fillId="0" borderId="2" xfId="0" applyNumberFormat="1" applyFont="1" applyBorder="1" applyAlignment="1">
      <alignment horizontal="center"/>
    </xf>
    <xf numFmtId="7" fontId="3" fillId="0" borderId="0" xfId="0" applyNumberFormat="1" applyFont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6" fontId="3" fillId="0" borderId="2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/>
    <xf numFmtId="14" fontId="4" fillId="0" borderId="3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" fontId="3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66" fontId="3" fillId="0" borderId="0" xfId="1" applyNumberFormat="1" applyFont="1" applyAlignment="1">
      <alignment horizontal="left"/>
    </xf>
    <xf numFmtId="0" fontId="3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4" fontId="3" fillId="0" borderId="0" xfId="1" applyNumberFormat="1" applyFont="1" applyAlignment="1">
      <alignment horizontal="center"/>
    </xf>
    <xf numFmtId="44" fontId="3" fillId="0" borderId="0" xfId="1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167" fontId="3" fillId="0" borderId="0" xfId="1" applyFont="1" applyAlignment="1">
      <alignment horizontal="center"/>
    </xf>
    <xf numFmtId="167" fontId="3" fillId="0" borderId="1" xfId="1" applyFont="1" applyBorder="1" applyAlignment="1">
      <alignment horizontal="center"/>
    </xf>
    <xf numFmtId="167" fontId="4" fillId="0" borderId="0" xfId="1" applyFont="1" applyAlignment="1">
      <alignment horizontal="center"/>
    </xf>
    <xf numFmtId="167" fontId="4" fillId="0" borderId="2" xfId="1" applyFont="1" applyBorder="1" applyAlignment="1">
      <alignment horizontal="center"/>
    </xf>
    <xf numFmtId="167" fontId="4" fillId="0" borderId="0" xfId="1" applyFont="1" applyBorder="1" applyAlignment="1">
      <alignment horizontal="center"/>
    </xf>
    <xf numFmtId="167" fontId="3" fillId="0" borderId="2" xfId="1" applyFont="1" applyBorder="1" applyAlignment="1">
      <alignment horizontal="center"/>
    </xf>
    <xf numFmtId="167" fontId="3" fillId="0" borderId="0" xfId="1" applyFont="1" applyBorder="1" applyAlignment="1">
      <alignment horizontal="center"/>
    </xf>
    <xf numFmtId="44" fontId="3" fillId="0" borderId="1" xfId="1" applyNumberFormat="1" applyFont="1" applyBorder="1" applyAlignment="1">
      <alignment horizontal="center"/>
    </xf>
    <xf numFmtId="44" fontId="4" fillId="0" borderId="0" xfId="1" applyNumberFormat="1" applyFont="1" applyAlignment="1">
      <alignment horizontal="center"/>
    </xf>
    <xf numFmtId="44" fontId="4" fillId="0" borderId="2" xfId="1" applyNumberFormat="1" applyFont="1" applyBorder="1" applyAlignment="1">
      <alignment horizontal="center"/>
    </xf>
    <xf numFmtId="44" fontId="4" fillId="0" borderId="0" xfId="0" applyNumberFormat="1" applyFont="1" applyBorder="1" applyAlignment="1">
      <alignment horizontal="center"/>
    </xf>
    <xf numFmtId="44" fontId="3" fillId="0" borderId="0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44" fontId="3" fillId="0" borderId="0" xfId="1" applyNumberFormat="1" applyFont="1" applyAlignment="1">
      <alignment horizontal="left"/>
    </xf>
    <xf numFmtId="44" fontId="3" fillId="0" borderId="2" xfId="0" applyNumberFormat="1" applyFont="1" applyBorder="1" applyAlignment="1">
      <alignment horizontal="center"/>
    </xf>
    <xf numFmtId="44" fontId="3" fillId="0" borderId="0" xfId="0" applyNumberFormat="1" applyFont="1" applyAlignment="1">
      <alignment horizontal="center"/>
    </xf>
    <xf numFmtId="44" fontId="4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44" fontId="3" fillId="0" borderId="2" xfId="1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8" fontId="3" fillId="0" borderId="0" xfId="1" applyNumberFormat="1" applyFont="1" applyAlignment="1">
      <alignment horizontal="center"/>
    </xf>
    <xf numFmtId="6" fontId="3" fillId="0" borderId="0" xfId="1" applyNumberFormat="1" applyFont="1" applyAlignment="1">
      <alignment horizontal="center"/>
    </xf>
    <xf numFmtId="44" fontId="6" fillId="0" borderId="1" xfId="1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7" fontId="3" fillId="0" borderId="0" xfId="1" applyNumberFormat="1" applyFont="1" applyAlignment="1">
      <alignment horizontal="righ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4" fontId="4" fillId="2" borderId="0" xfId="1" applyNumberFormat="1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44" fontId="3" fillId="2" borderId="0" xfId="1" applyNumberFormat="1" applyFont="1" applyFill="1" applyAlignment="1">
      <alignment horizontal="center"/>
    </xf>
    <xf numFmtId="44" fontId="3" fillId="2" borderId="0" xfId="0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4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Border="1" applyAlignment="1">
      <alignment horizontal="center"/>
    </xf>
    <xf numFmtId="166" fontId="4" fillId="0" borderId="1" xfId="2" applyNumberFormat="1" applyFont="1" applyBorder="1" applyAlignment="1">
      <alignment horizontal="right"/>
    </xf>
    <xf numFmtId="44" fontId="3" fillId="0" borderId="1" xfId="2" applyNumberFormat="1" applyFont="1" applyBorder="1" applyAlignment="1">
      <alignment horizontal="center"/>
    </xf>
    <xf numFmtId="44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right"/>
    </xf>
    <xf numFmtId="166" fontId="4" fillId="0" borderId="0" xfId="2" applyNumberFormat="1" applyFont="1" applyBorder="1" applyAlignment="1">
      <alignment horizontal="center"/>
    </xf>
    <xf numFmtId="44" fontId="4" fillId="0" borderId="0" xfId="2" applyNumberFormat="1" applyFont="1" applyBorder="1" applyAlignment="1">
      <alignment horizontal="center"/>
    </xf>
    <xf numFmtId="44" fontId="4" fillId="0" borderId="2" xfId="2" applyNumberFormat="1" applyFont="1" applyBorder="1" applyAlignment="1">
      <alignment horizontal="center"/>
    </xf>
    <xf numFmtId="166" fontId="4" fillId="0" borderId="2" xfId="2" applyNumberFormat="1" applyFont="1" applyBorder="1" applyAlignment="1">
      <alignment horizontal="center"/>
    </xf>
    <xf numFmtId="10" fontId="2" fillId="0" borderId="0" xfId="3" applyNumberFormat="1" applyFont="1" applyAlignment="1">
      <alignment horizontal="right"/>
    </xf>
    <xf numFmtId="10" fontId="2" fillId="0" borderId="0" xfId="3" applyNumberFormat="1"/>
    <xf numFmtId="44" fontId="0" fillId="0" borderId="9" xfId="0" applyNumberFormat="1" applyBorder="1"/>
    <xf numFmtId="44" fontId="0" fillId="0" borderId="0" xfId="0" applyNumberFormat="1" applyBorder="1"/>
    <xf numFmtId="6" fontId="0" fillId="0" borderId="0" xfId="0" applyNumberFormat="1"/>
    <xf numFmtId="6" fontId="0" fillId="0" borderId="9" xfId="0" applyNumberFormat="1" applyBorder="1"/>
    <xf numFmtId="5" fontId="0" fillId="0" borderId="0" xfId="0" applyNumberFormat="1"/>
    <xf numFmtId="169" fontId="3" fillId="0" borderId="1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169" fontId="4" fillId="0" borderId="0" xfId="0" applyNumberFormat="1" applyFont="1" applyBorder="1" applyAlignment="1">
      <alignment horizontal="center"/>
    </xf>
    <xf numFmtId="169" fontId="4" fillId="0" borderId="2" xfId="0" applyNumberFormat="1" applyFont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44" fontId="3" fillId="0" borderId="9" xfId="1" applyNumberFormat="1" applyFont="1" applyBorder="1" applyAlignment="1">
      <alignment horizontal="center"/>
    </xf>
    <xf numFmtId="166" fontId="0" fillId="0" borderId="0" xfId="0" applyNumberFormat="1"/>
    <xf numFmtId="166" fontId="0" fillId="0" borderId="9" xfId="0" applyNumberFormat="1" applyBorder="1"/>
    <xf numFmtId="176" fontId="3" fillId="0" borderId="0" xfId="0" applyNumberFormat="1" applyFont="1" applyAlignment="1">
      <alignment horizontal="center"/>
    </xf>
    <xf numFmtId="14" fontId="0" fillId="0" borderId="0" xfId="0" applyNumberFormat="1"/>
    <xf numFmtId="14" fontId="3" fillId="0" borderId="2" xfId="0" applyNumberFormat="1" applyFont="1" applyBorder="1" applyAlignment="1">
      <alignment horizontal="center"/>
    </xf>
    <xf numFmtId="166" fontId="1" fillId="0" borderId="9" xfId="0" applyNumberFormat="1" applyFont="1" applyBorder="1"/>
    <xf numFmtId="166" fontId="2" fillId="0" borderId="9" xfId="0" applyNumberFormat="1" applyFont="1" applyBorder="1"/>
    <xf numFmtId="3" fontId="3" fillId="0" borderId="0" xfId="0" applyNumberFormat="1" applyFont="1" applyAlignment="1">
      <alignment horizontal="right"/>
    </xf>
    <xf numFmtId="0" fontId="1" fillId="0" borderId="0" xfId="0" applyFont="1"/>
    <xf numFmtId="6" fontId="1" fillId="0" borderId="0" xfId="0" applyNumberFormat="1" applyFont="1"/>
    <xf numFmtId="168" fontId="3" fillId="0" borderId="1" xfId="1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center"/>
    </xf>
    <xf numFmtId="168" fontId="4" fillId="0" borderId="2" xfId="1" applyNumberFormat="1" applyFont="1" applyBorder="1" applyAlignment="1">
      <alignment horizontal="center"/>
    </xf>
    <xf numFmtId="168" fontId="3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center"/>
    </xf>
    <xf numFmtId="168" fontId="3" fillId="0" borderId="2" xfId="1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1" fillId="0" borderId="0" xfId="0" applyNumberFormat="1" applyFont="1"/>
    <xf numFmtId="14" fontId="1" fillId="0" borderId="0" xfId="0" applyNumberFormat="1" applyFont="1"/>
    <xf numFmtId="0" fontId="2" fillId="0" borderId="0" xfId="0" applyFont="1"/>
    <xf numFmtId="6" fontId="2" fillId="0" borderId="0" xfId="0" applyNumberFormat="1" applyFont="1"/>
    <xf numFmtId="14" fontId="2" fillId="0" borderId="0" xfId="0" applyNumberFormat="1" applyFont="1"/>
    <xf numFmtId="168" fontId="1" fillId="0" borderId="0" xfId="1" applyNumberFormat="1" applyFont="1"/>
    <xf numFmtId="166" fontId="2" fillId="0" borderId="0" xfId="0" applyNumberFormat="1" applyFont="1"/>
    <xf numFmtId="168" fontId="2" fillId="0" borderId="0" xfId="1" applyNumberFormat="1" applyFont="1"/>
    <xf numFmtId="166" fontId="3" fillId="0" borderId="2" xfId="0" applyNumberFormat="1" applyFont="1" applyBorder="1" applyAlignment="1">
      <alignment horizontal="center"/>
    </xf>
    <xf numFmtId="168" fontId="0" fillId="0" borderId="0" xfId="1" applyNumberFormat="1" applyFont="1"/>
    <xf numFmtId="168" fontId="0" fillId="0" borderId="9" xfId="1" applyNumberFormat="1" applyFont="1" applyBorder="1"/>
    <xf numFmtId="168" fontId="3" fillId="0" borderId="9" xfId="1" applyNumberFormat="1" applyFont="1" applyBorder="1" applyAlignment="1">
      <alignment horizontal="center"/>
    </xf>
    <xf numFmtId="0" fontId="7" fillId="0" borderId="0" xfId="0" applyFont="1"/>
    <xf numFmtId="6" fontId="7" fillId="0" borderId="0" xfId="0" applyNumberFormat="1" applyFont="1"/>
    <xf numFmtId="14" fontId="7" fillId="0" borderId="0" xfId="0" applyNumberFormat="1" applyFont="1"/>
    <xf numFmtId="8" fontId="2" fillId="0" borderId="0" xfId="0" applyNumberFormat="1" applyFont="1"/>
    <xf numFmtId="10" fontId="2" fillId="0" borderId="0" xfId="3" applyNumberFormat="1" applyFont="1"/>
    <xf numFmtId="176" fontId="2" fillId="0" borderId="0" xfId="0" applyNumberFormat="1" applyFont="1" applyBorder="1"/>
    <xf numFmtId="1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8" fontId="7" fillId="0" borderId="0" xfId="0" applyNumberFormat="1" applyFont="1"/>
    <xf numFmtId="10" fontId="7" fillId="0" borderId="0" xfId="3" applyNumberFormat="1" applyFont="1"/>
    <xf numFmtId="176" fontId="7" fillId="0" borderId="0" xfId="0" applyNumberFormat="1" applyFont="1"/>
    <xf numFmtId="168" fontId="7" fillId="0" borderId="0" xfId="1" applyNumberFormat="1" applyFont="1"/>
    <xf numFmtId="168" fontId="7" fillId="0" borderId="0" xfId="0" applyNumberFormat="1" applyFont="1"/>
    <xf numFmtId="167" fontId="4" fillId="0" borderId="0" xfId="1" applyNumberFormat="1" applyFont="1" applyAlignment="1">
      <alignment horizontal="center"/>
    </xf>
    <xf numFmtId="168" fontId="3" fillId="0" borderId="0" xfId="1" applyNumberFormat="1" applyFont="1" applyAlignment="1">
      <alignment horizontal="right"/>
    </xf>
    <xf numFmtId="14" fontId="7" fillId="0" borderId="0" xfId="0" applyNumberFormat="1" applyFont="1" applyAlignment="1">
      <alignment horizontal="center"/>
    </xf>
    <xf numFmtId="168" fontId="3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3" fillId="0" borderId="9" xfId="1" applyNumberFormat="1" applyFont="1" applyBorder="1" applyAlignment="1">
      <alignment horizontal="center"/>
    </xf>
    <xf numFmtId="168" fontId="3" fillId="0" borderId="1" xfId="1" applyNumberFormat="1" applyFont="1" applyBorder="1" applyAlignment="1">
      <alignment horizontal="right"/>
    </xf>
    <xf numFmtId="168" fontId="4" fillId="0" borderId="0" xfId="1" applyNumberFormat="1" applyFont="1" applyBorder="1" applyAlignment="1">
      <alignment horizontal="right"/>
    </xf>
    <xf numFmtId="168" fontId="3" fillId="0" borderId="0" xfId="1" applyNumberFormat="1" applyFont="1" applyBorder="1" applyAlignment="1">
      <alignment horizontal="right"/>
    </xf>
    <xf numFmtId="168" fontId="4" fillId="0" borderId="2" xfId="1" applyNumberFormat="1" applyFont="1" applyBorder="1" applyAlignment="1">
      <alignment horizontal="right"/>
    </xf>
    <xf numFmtId="168" fontId="4" fillId="0" borderId="0" xfId="1" applyNumberFormat="1" applyFont="1" applyAlignment="1">
      <alignment horizontal="right"/>
    </xf>
    <xf numFmtId="168" fontId="3" fillId="0" borderId="9" xfId="1" applyNumberFormat="1" applyFont="1" applyBorder="1" applyAlignment="1">
      <alignment horizontal="right"/>
    </xf>
    <xf numFmtId="168" fontId="2" fillId="0" borderId="0" xfId="0" applyNumberFormat="1" applyFont="1"/>
    <xf numFmtId="168" fontId="0" fillId="0" borderId="0" xfId="0" applyNumberFormat="1"/>
    <xf numFmtId="166" fontId="7" fillId="0" borderId="0" xfId="0" applyNumberFormat="1" applyFont="1"/>
    <xf numFmtId="7" fontId="0" fillId="0" borderId="0" xfId="0" applyNumberFormat="1"/>
    <xf numFmtId="166" fontId="3" fillId="0" borderId="1" xfId="2" applyNumberFormat="1" applyFont="1" applyBorder="1" applyAlignment="1">
      <alignment horizontal="center"/>
    </xf>
    <xf numFmtId="14" fontId="3" fillId="0" borderId="0" xfId="0" applyNumberFormat="1" applyFont="1" applyAlignment="1">
      <alignment horizontal="right"/>
    </xf>
    <xf numFmtId="176" fontId="7" fillId="0" borderId="0" xfId="0" applyNumberFormat="1" applyFont="1" applyBorder="1"/>
    <xf numFmtId="10" fontId="7" fillId="0" borderId="0" xfId="3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66" fontId="4" fillId="0" borderId="1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0" fontId="7" fillId="0" borderId="0" xfId="0" applyFont="1" applyBorder="1"/>
    <xf numFmtId="10" fontId="7" fillId="0" borderId="0" xfId="3" applyNumberFormat="1" applyFont="1" applyBorder="1"/>
    <xf numFmtId="6" fontId="7" fillId="0" borderId="0" xfId="0" applyNumberFormat="1" applyFont="1" applyBorder="1"/>
    <xf numFmtId="14" fontId="7" fillId="0" borderId="0" xfId="0" applyNumberFormat="1" applyFont="1" applyBorder="1"/>
    <xf numFmtId="170" fontId="7" fillId="0" borderId="0" xfId="1" applyNumberFormat="1" applyFont="1"/>
    <xf numFmtId="10" fontId="0" fillId="0" borderId="0" xfId="0" applyNumberFormat="1"/>
    <xf numFmtId="0" fontId="0" fillId="0" borderId="10" xfId="0" applyBorder="1"/>
    <xf numFmtId="0" fontId="3" fillId="0" borderId="10" xfId="0" applyFont="1" applyBorder="1" applyAlignment="1">
      <alignment horizontal="center"/>
    </xf>
    <xf numFmtId="6" fontId="0" fillId="0" borderId="10" xfId="0" applyNumberFormat="1" applyBorder="1"/>
    <xf numFmtId="10" fontId="2" fillId="0" borderId="10" xfId="3" applyNumberFormat="1" applyFont="1" applyBorder="1"/>
    <xf numFmtId="166" fontId="7" fillId="0" borderId="10" xfId="0" applyNumberFormat="1" applyFont="1" applyBorder="1"/>
    <xf numFmtId="10" fontId="2" fillId="0" borderId="10" xfId="3" applyNumberFormat="1" applyBorder="1"/>
    <xf numFmtId="6" fontId="2" fillId="0" borderId="10" xfId="0" applyNumberFormat="1" applyFont="1" applyBorder="1"/>
    <xf numFmtId="14" fontId="2" fillId="0" borderId="10" xfId="0" applyNumberFormat="1" applyFont="1" applyBorder="1"/>
    <xf numFmtId="166" fontId="3" fillId="0" borderId="10" xfId="1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68" fontId="3" fillId="0" borderId="10" xfId="1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14" fontId="7" fillId="0" borderId="10" xfId="0" applyNumberFormat="1" applyFont="1" applyBorder="1"/>
    <xf numFmtId="176" fontId="4" fillId="0" borderId="0" xfId="0" applyNumberFormat="1" applyFont="1" applyAlignment="1">
      <alignment horizontal="center"/>
    </xf>
    <xf numFmtId="168" fontId="0" fillId="0" borderId="10" xfId="1" applyNumberFormat="1" applyFont="1" applyBorder="1"/>
    <xf numFmtId="166" fontId="7" fillId="0" borderId="0" xfId="2" applyNumberFormat="1" applyFont="1"/>
    <xf numFmtId="0" fontId="2" fillId="0" borderId="0" xfId="0" applyFont="1" applyAlignment="1"/>
    <xf numFmtId="6" fontId="2" fillId="0" borderId="0" xfId="0" applyNumberFormat="1" applyFont="1" applyAlignment="1"/>
    <xf numFmtId="166" fontId="3" fillId="0" borderId="0" xfId="1" applyNumberFormat="1" applyFont="1" applyAlignment="1"/>
    <xf numFmtId="176" fontId="3" fillId="0" borderId="0" xfId="0" applyNumberFormat="1" applyFont="1" applyAlignment="1"/>
    <xf numFmtId="14" fontId="3" fillId="0" borderId="0" xfId="0" applyNumberFormat="1" applyFont="1" applyAlignment="1"/>
    <xf numFmtId="44" fontId="3" fillId="0" borderId="0" xfId="1" applyNumberFormat="1" applyFont="1" applyAlignment="1"/>
    <xf numFmtId="168" fontId="3" fillId="0" borderId="0" xfId="1" applyNumberFormat="1" applyFont="1" applyAlignment="1"/>
    <xf numFmtId="168" fontId="2" fillId="0" borderId="0" xfId="1" applyNumberFormat="1" applyFont="1" applyAlignment="1"/>
    <xf numFmtId="14" fontId="2" fillId="0" borderId="0" xfId="0" applyNumberFormat="1" applyFont="1" applyAlignment="1"/>
    <xf numFmtId="166" fontId="7" fillId="0" borderId="0" xfId="1" applyNumberFormat="1" applyFont="1" applyAlignment="1">
      <alignment horizontal="right"/>
    </xf>
    <xf numFmtId="0" fontId="2" fillId="0" borderId="10" xfId="0" applyFont="1" applyBorder="1"/>
    <xf numFmtId="0" fontId="7" fillId="0" borderId="10" xfId="0" applyFont="1" applyBorder="1"/>
    <xf numFmtId="6" fontId="7" fillId="0" borderId="10" xfId="0" applyNumberFormat="1" applyFont="1" applyBorder="1"/>
    <xf numFmtId="44" fontId="3" fillId="0" borderId="10" xfId="1" applyNumberFormat="1" applyFont="1" applyBorder="1" applyAlignment="1">
      <alignment horizontal="center"/>
    </xf>
    <xf numFmtId="167" fontId="3" fillId="0" borderId="10" xfId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7" fontId="7" fillId="0" borderId="0" xfId="1" applyNumberFormat="1" applyFont="1"/>
    <xf numFmtId="170" fontId="0" fillId="0" borderId="0" xfId="1" applyNumberFormat="1" applyFont="1"/>
    <xf numFmtId="165" fontId="2" fillId="0" borderId="0" xfId="0" applyNumberFormat="1" applyFont="1"/>
    <xf numFmtId="167" fontId="7" fillId="0" borderId="0" xfId="1" applyFont="1"/>
    <xf numFmtId="14" fontId="3" fillId="0" borderId="0" xfId="1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167" fontId="2" fillId="0" borderId="0" xfId="1" applyFont="1" applyAlignment="1">
      <alignment horizontal="center"/>
    </xf>
    <xf numFmtId="166" fontId="3" fillId="0" borderId="0" xfId="1" applyNumberFormat="1" applyFont="1" applyAlignment="1">
      <alignment horizontal="right"/>
    </xf>
    <xf numFmtId="168" fontId="3" fillId="0" borderId="0" xfId="0" applyNumberFormat="1" applyFont="1" applyAlignment="1">
      <alignment horizontal="center"/>
    </xf>
    <xf numFmtId="44" fontId="0" fillId="0" borderId="0" xfId="0" applyNumberFormat="1"/>
    <xf numFmtId="44" fontId="1" fillId="0" borderId="0" xfId="0" applyNumberFormat="1" applyFont="1"/>
    <xf numFmtId="14" fontId="7" fillId="0" borderId="10" xfId="0" applyNumberFormat="1" applyFont="1" applyBorder="1" applyAlignment="1">
      <alignment horizontal="center"/>
    </xf>
    <xf numFmtId="166" fontId="7" fillId="0" borderId="0" xfId="0" applyNumberFormat="1" applyFont="1" applyBorder="1"/>
    <xf numFmtId="176" fontId="7" fillId="0" borderId="10" xfId="0" applyNumberFormat="1" applyFont="1" applyBorder="1"/>
    <xf numFmtId="168" fontId="7" fillId="0" borderId="10" xfId="1" applyNumberFormat="1" applyFont="1" applyBorder="1"/>
    <xf numFmtId="168" fontId="7" fillId="0" borderId="0" xfId="1" applyNumberFormat="1" applyFont="1" applyBorder="1"/>
    <xf numFmtId="176" fontId="3" fillId="0" borderId="10" xfId="0" applyNumberFormat="1" applyFont="1" applyBorder="1" applyAlignment="1">
      <alignment horizontal="center"/>
    </xf>
    <xf numFmtId="168" fontId="3" fillId="0" borderId="10" xfId="1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5" fontId="7" fillId="0" borderId="0" xfId="0" applyNumberFormat="1" applyFont="1"/>
    <xf numFmtId="168" fontId="7" fillId="0" borderId="0" xfId="1" applyNumberFormat="1" applyFont="1" applyFill="1" applyBorder="1"/>
    <xf numFmtId="10" fontId="7" fillId="0" borderId="0" xfId="0" applyNumberFormat="1" applyFont="1"/>
    <xf numFmtId="6" fontId="7" fillId="0" borderId="0" xfId="0" applyNumberFormat="1" applyFont="1" applyAlignment="1">
      <alignment horizontal="right"/>
    </xf>
    <xf numFmtId="166" fontId="7" fillId="0" borderId="0" xfId="1" applyNumberFormat="1" applyFont="1" applyAlignment="1">
      <alignment horizontal="center"/>
    </xf>
    <xf numFmtId="167" fontId="3" fillId="0" borderId="0" xfId="1" applyNumberFormat="1" applyFont="1" applyAlignment="1">
      <alignment horizontal="center"/>
    </xf>
    <xf numFmtId="0" fontId="1" fillId="0" borderId="0" xfId="0" applyFont="1" applyFill="1" applyBorder="1"/>
    <xf numFmtId="10" fontId="1" fillId="0" borderId="0" xfId="3" applyNumberFormat="1" applyFont="1"/>
    <xf numFmtId="10" fontId="0" fillId="0" borderId="0" xfId="3" applyNumberFormat="1" applyFont="1"/>
    <xf numFmtId="14" fontId="7" fillId="0" borderId="0" xfId="0" applyNumberFormat="1" applyFont="1" applyBorder="1" applyAlignment="1">
      <alignment horizontal="center"/>
    </xf>
    <xf numFmtId="6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167" fontId="0" fillId="0" borderId="0" xfId="1" applyFont="1"/>
    <xf numFmtId="167" fontId="0" fillId="0" borderId="0" xfId="0" applyNumberFormat="1"/>
    <xf numFmtId="0" fontId="4" fillId="0" borderId="0" xfId="0" applyFont="1" applyBorder="1" applyAlignment="1">
      <alignment horizontal="right"/>
    </xf>
    <xf numFmtId="167" fontId="3" fillId="0" borderId="0" xfId="0" applyNumberFormat="1" applyFont="1" applyAlignment="1">
      <alignment horizontal="center"/>
    </xf>
    <xf numFmtId="0" fontId="1" fillId="0" borderId="10" xfId="0" applyFont="1" applyBorder="1"/>
    <xf numFmtId="167" fontId="1" fillId="0" borderId="0" xfId="1" applyFont="1"/>
    <xf numFmtId="4" fontId="4" fillId="0" borderId="0" xfId="0" applyNumberFormat="1" applyFont="1" applyAlignment="1">
      <alignment horizontal="right"/>
    </xf>
    <xf numFmtId="167" fontId="3" fillId="0" borderId="0" xfId="1" applyFont="1" applyAlignment="1">
      <alignment horizontal="right"/>
    </xf>
    <xf numFmtId="168" fontId="0" fillId="0" borderId="0" xfId="1" applyNumberFormat="1" applyFont="1" applyAlignment="1">
      <alignment horizontal="right"/>
    </xf>
    <xf numFmtId="168" fontId="2" fillId="0" borderId="0" xfId="1" applyNumberFormat="1" applyFont="1" applyAlignment="1">
      <alignment horizontal="right"/>
    </xf>
    <xf numFmtId="44" fontId="3" fillId="0" borderId="11" xfId="1" applyNumberFormat="1" applyFont="1" applyBorder="1" applyAlignment="1">
      <alignment horizontal="center"/>
    </xf>
    <xf numFmtId="167" fontId="3" fillId="0" borderId="11" xfId="0" applyNumberFormat="1" applyFont="1" applyBorder="1" applyAlignment="1">
      <alignment horizontal="center"/>
    </xf>
    <xf numFmtId="167" fontId="3" fillId="0" borderId="11" xfId="1" applyFont="1" applyBorder="1" applyAlignment="1">
      <alignment horizontal="right"/>
    </xf>
    <xf numFmtId="189" fontId="0" fillId="0" borderId="0" xfId="0" applyNumberFormat="1"/>
    <xf numFmtId="43" fontId="0" fillId="0" borderId="0" xfId="0" applyNumberFormat="1"/>
    <xf numFmtId="167" fontId="3" fillId="0" borderId="0" xfId="0" applyNumberFormat="1" applyFont="1" applyAlignment="1">
      <alignment horizontal="right"/>
    </xf>
    <xf numFmtId="4" fontId="3" fillId="0" borderId="12" xfId="0" applyNumberFormat="1" applyFont="1" applyBorder="1"/>
    <xf numFmtId="0" fontId="3" fillId="0" borderId="12" xfId="0" applyFont="1" applyBorder="1"/>
    <xf numFmtId="168" fontId="0" fillId="0" borderId="11" xfId="1" applyNumberFormat="1" applyFont="1" applyBorder="1"/>
    <xf numFmtId="168" fontId="0" fillId="0" borderId="0" xfId="1" applyNumberFormat="1" applyFont="1" applyBorder="1"/>
    <xf numFmtId="6" fontId="0" fillId="0" borderId="0" xfId="1" applyNumberFormat="1" applyFont="1"/>
    <xf numFmtId="168" fontId="1" fillId="0" borderId="0" xfId="1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right"/>
    </xf>
    <xf numFmtId="168" fontId="0" fillId="0" borderId="1" xfId="1" applyNumberFormat="1" applyFont="1" applyBorder="1"/>
    <xf numFmtId="168" fontId="0" fillId="0" borderId="3" xfId="1" applyNumberFormat="1" applyFont="1" applyBorder="1"/>
    <xf numFmtId="0" fontId="1" fillId="0" borderId="0" xfId="0" applyFont="1" applyBorder="1" applyAlignment="1">
      <alignment horizontal="right"/>
    </xf>
    <xf numFmtId="168" fontId="0" fillId="0" borderId="4" xfId="1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68" fontId="0" fillId="0" borderId="13" xfId="1" applyNumberFormat="1" applyFont="1" applyBorder="1"/>
    <xf numFmtId="167" fontId="1" fillId="0" borderId="11" xfId="1" applyFont="1" applyBorder="1"/>
    <xf numFmtId="167" fontId="0" fillId="0" borderId="9" xfId="0" applyNumberFormat="1" applyBorder="1"/>
    <xf numFmtId="0" fontId="0" fillId="0" borderId="0" xfId="0" applyAlignment="1">
      <alignment horizontal="right"/>
    </xf>
    <xf numFmtId="168" fontId="1" fillId="0" borderId="0" xfId="1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2" fillId="0" borderId="0" xfId="0" applyNumberFormat="1" applyFont="1" applyAlignment="1">
      <alignment horizontal="right"/>
    </xf>
    <xf numFmtId="167" fontId="2" fillId="0" borderId="0" xfId="1" applyNumberFormat="1" applyFont="1" applyAlignment="1">
      <alignment horizontal="right"/>
    </xf>
    <xf numFmtId="167" fontId="0" fillId="0" borderId="9" xfId="0" applyNumberFormat="1" applyBorder="1" applyAlignment="1">
      <alignment horizontal="right"/>
    </xf>
    <xf numFmtId="168" fontId="0" fillId="0" borderId="9" xfId="0" applyNumberFormat="1" applyBorder="1" applyAlignment="1">
      <alignment horizontal="right"/>
    </xf>
    <xf numFmtId="168" fontId="9" fillId="0" borderId="0" xfId="1" applyNumberFormat="1" applyFont="1" applyAlignment="1">
      <alignment horizontal="right"/>
    </xf>
    <xf numFmtId="167" fontId="2" fillId="0" borderId="9" xfId="1" applyFont="1" applyBorder="1" applyAlignment="1">
      <alignment horizontal="center"/>
    </xf>
    <xf numFmtId="167" fontId="3" fillId="0" borderId="9" xfId="1" applyNumberFormat="1" applyFont="1" applyBorder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7" fillId="3" borderId="0" xfId="0" applyFont="1" applyFill="1"/>
    <xf numFmtId="6" fontId="7" fillId="3" borderId="0" xfId="0" applyNumberFormat="1" applyFont="1" applyFill="1"/>
    <xf numFmtId="176" fontId="3" fillId="3" borderId="0" xfId="0" applyNumberFormat="1" applyFont="1" applyFill="1" applyAlignment="1">
      <alignment horizontal="center"/>
    </xf>
    <xf numFmtId="168" fontId="3" fillId="3" borderId="0" xfId="1" applyNumberFormat="1" applyFont="1" applyFill="1" applyAlignment="1">
      <alignment horizontal="right"/>
    </xf>
    <xf numFmtId="14" fontId="3" fillId="3" borderId="0" xfId="0" applyNumberFormat="1" applyFont="1" applyFill="1" applyAlignment="1">
      <alignment horizontal="center"/>
    </xf>
    <xf numFmtId="168" fontId="3" fillId="3" borderId="0" xfId="0" applyNumberFormat="1" applyFont="1" applyFill="1" applyAlignment="1">
      <alignment horizontal="center"/>
    </xf>
    <xf numFmtId="166" fontId="3" fillId="3" borderId="0" xfId="1" applyNumberFormat="1" applyFont="1" applyFill="1" applyAlignment="1">
      <alignment horizontal="center"/>
    </xf>
    <xf numFmtId="44" fontId="3" fillId="3" borderId="0" xfId="1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6" fontId="2" fillId="3" borderId="0" xfId="0" applyNumberFormat="1" applyFont="1" applyFill="1" applyAlignment="1"/>
    <xf numFmtId="166" fontId="3" fillId="3" borderId="0" xfId="1" applyNumberFormat="1" applyFont="1" applyFill="1" applyAlignment="1"/>
    <xf numFmtId="176" fontId="3" fillId="3" borderId="0" xfId="0" applyNumberFormat="1" applyFont="1" applyFill="1" applyAlignment="1"/>
    <xf numFmtId="14" fontId="3" fillId="3" borderId="0" xfId="0" applyNumberFormat="1" applyFont="1" applyFill="1" applyAlignment="1"/>
    <xf numFmtId="168" fontId="3" fillId="3" borderId="0" xfId="1" applyNumberFormat="1" applyFont="1" applyFill="1" applyAlignment="1"/>
    <xf numFmtId="0" fontId="3" fillId="3" borderId="0" xfId="0" applyFont="1" applyFill="1" applyAlignment="1"/>
    <xf numFmtId="0" fontId="7" fillId="3" borderId="0" xfId="0" applyFont="1" applyFill="1" applyAlignment="1"/>
    <xf numFmtId="0" fontId="7" fillId="3" borderId="0" xfId="0" applyFont="1" applyFill="1" applyAlignment="1">
      <alignment horizontal="left"/>
    </xf>
    <xf numFmtId="6" fontId="7" fillId="3" borderId="0" xfId="0" applyNumberFormat="1" applyFont="1" applyFill="1" applyAlignment="1"/>
    <xf numFmtId="14" fontId="7" fillId="3" borderId="0" xfId="0" applyNumberFormat="1" applyFont="1" applyFill="1" applyAlignment="1"/>
    <xf numFmtId="44" fontId="3" fillId="3" borderId="0" xfId="1" applyNumberFormat="1" applyFont="1" applyFill="1" applyAlignment="1"/>
    <xf numFmtId="0" fontId="2" fillId="3" borderId="0" xfId="0" applyFont="1" applyFill="1" applyAlignment="1">
      <alignment horizontal="right"/>
    </xf>
    <xf numFmtId="6" fontId="2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76" fontId="3" fillId="3" borderId="0" xfId="0" applyNumberFormat="1" applyFont="1" applyFill="1" applyAlignment="1">
      <alignment horizontal="right"/>
    </xf>
    <xf numFmtId="14" fontId="3" fillId="3" borderId="0" xfId="0" applyNumberFormat="1" applyFont="1" applyFill="1" applyAlignment="1">
      <alignment horizontal="right"/>
    </xf>
    <xf numFmtId="44" fontId="3" fillId="3" borderId="0" xfId="1" applyNumberFormat="1" applyFont="1" applyFill="1" applyAlignment="1">
      <alignment horizontal="right"/>
    </xf>
    <xf numFmtId="14" fontId="3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0" xfId="0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166" fontId="2" fillId="3" borderId="0" xfId="0" applyNumberFormat="1" applyFont="1" applyFill="1" applyAlignment="1">
      <alignment horizontal="center"/>
    </xf>
    <xf numFmtId="10" fontId="2" fillId="3" borderId="0" xfId="3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76" fontId="2" fillId="3" borderId="0" xfId="0" applyNumberFormat="1" applyFont="1" applyFill="1" applyBorder="1" applyAlignment="1">
      <alignment horizontal="center"/>
    </xf>
    <xf numFmtId="168" fontId="2" fillId="3" borderId="0" xfId="1" applyNumberFormat="1" applyFont="1" applyFill="1" applyAlignment="1">
      <alignment horizontal="right"/>
    </xf>
    <xf numFmtId="167" fontId="2" fillId="3" borderId="0" xfId="1" applyFont="1" applyFill="1" applyAlignment="1">
      <alignment horizontal="center"/>
    </xf>
    <xf numFmtId="0" fontId="2" fillId="3" borderId="10" xfId="0" applyFont="1" applyFill="1" applyBorder="1"/>
    <xf numFmtId="0" fontId="3" fillId="3" borderId="10" xfId="0" applyFont="1" applyFill="1" applyBorder="1" applyAlignment="1">
      <alignment horizontal="center"/>
    </xf>
    <xf numFmtId="0" fontId="7" fillId="3" borderId="10" xfId="0" applyFont="1" applyFill="1" applyBorder="1"/>
    <xf numFmtId="6" fontId="7" fillId="3" borderId="10" xfId="0" applyNumberFormat="1" applyFont="1" applyFill="1" applyBorder="1"/>
    <xf numFmtId="14" fontId="7" fillId="3" borderId="10" xfId="0" applyNumberFormat="1" applyFont="1" applyFill="1" applyBorder="1"/>
    <xf numFmtId="14" fontId="3" fillId="3" borderId="10" xfId="0" applyNumberFormat="1" applyFont="1" applyFill="1" applyBorder="1" applyAlignment="1">
      <alignment horizontal="center"/>
    </xf>
    <xf numFmtId="166" fontId="3" fillId="3" borderId="10" xfId="1" applyNumberFormat="1" applyFont="1" applyFill="1" applyBorder="1" applyAlignment="1">
      <alignment horizontal="center"/>
    </xf>
    <xf numFmtId="14" fontId="7" fillId="3" borderId="0" xfId="0" applyNumberFormat="1" applyFont="1" applyFill="1"/>
    <xf numFmtId="14" fontId="3" fillId="3" borderId="0" xfId="0" applyNumberFormat="1" applyFont="1" applyFill="1" applyBorder="1" applyAlignment="1">
      <alignment horizontal="center"/>
    </xf>
    <xf numFmtId="167" fontId="1" fillId="0" borderId="11" xfId="0" applyNumberFormat="1" applyFont="1" applyBorder="1"/>
    <xf numFmtId="42" fontId="7" fillId="3" borderId="0" xfId="0" applyNumberFormat="1" applyFont="1" applyFill="1"/>
    <xf numFmtId="42" fontId="3" fillId="0" borderId="0" xfId="1" applyNumberFormat="1" applyFont="1" applyAlignment="1">
      <alignment horizontal="center"/>
    </xf>
    <xf numFmtId="42" fontId="7" fillId="3" borderId="10" xfId="0" applyNumberFormat="1" applyFont="1" applyFill="1" applyBorder="1"/>
    <xf numFmtId="6" fontId="2" fillId="3" borderId="0" xfId="0" applyNumberFormat="1" applyFont="1" applyFill="1"/>
    <xf numFmtId="14" fontId="2" fillId="3" borderId="0" xfId="0" applyNumberFormat="1" applyFont="1" applyFill="1"/>
    <xf numFmtId="168" fontId="4" fillId="0" borderId="0" xfId="1" applyNumberFormat="1" applyFont="1" applyAlignment="1"/>
    <xf numFmtId="168" fontId="3" fillId="3" borderId="10" xfId="1" applyNumberFormat="1" applyFont="1" applyFill="1" applyBorder="1" applyAlignment="1">
      <alignment horizontal="right"/>
    </xf>
    <xf numFmtId="166" fontId="3" fillId="3" borderId="0" xfId="1" applyNumberFormat="1" applyFont="1" applyFill="1" applyAlignment="1">
      <alignment horizontal="right"/>
    </xf>
    <xf numFmtId="44" fontId="3" fillId="0" borderId="0" xfId="1" applyNumberFormat="1" applyFont="1" applyAlignment="1">
      <alignment horizontal="right"/>
    </xf>
    <xf numFmtId="168" fontId="0" fillId="0" borderId="4" xfId="0" applyNumberFormat="1" applyBorder="1"/>
    <xf numFmtId="190" fontId="0" fillId="0" borderId="0" xfId="3" applyNumberFormat="1" applyFont="1"/>
    <xf numFmtId="167" fontId="0" fillId="0" borderId="0" xfId="1" applyNumberFormat="1" applyFont="1"/>
    <xf numFmtId="42" fontId="4" fillId="0" borderId="0" xfId="1" applyNumberFormat="1" applyFont="1" applyAlignment="1">
      <alignment horizontal="center"/>
    </xf>
    <xf numFmtId="42" fontId="1" fillId="0" borderId="0" xfId="0" applyNumberFormat="1" applyFont="1"/>
    <xf numFmtId="42" fontId="4" fillId="0" borderId="0" xfId="1" applyNumberFormat="1" applyFont="1" applyAlignment="1">
      <alignment horizontal="right"/>
    </xf>
    <xf numFmtId="0" fontId="1" fillId="0" borderId="8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14" fontId="4" fillId="0" borderId="0" xfId="0" applyNumberFormat="1" applyFont="1" applyAlignment="1">
      <alignment horizontal="left"/>
    </xf>
    <xf numFmtId="166" fontId="3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167" fontId="3" fillId="0" borderId="0" xfId="1" applyFont="1" applyAlignment="1">
      <alignment horizontal="left"/>
    </xf>
    <xf numFmtId="168" fontId="3" fillId="0" borderId="0" xfId="1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0" xfId="1" applyNumberFormat="1" applyFont="1" applyAlignment="1">
      <alignment horizontal="left"/>
    </xf>
  </cellXfs>
  <cellStyles count="4">
    <cellStyle name="Currency" xfId="1" builtinId="4"/>
    <cellStyle name="Currency_SF" xfId="2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2003PABSUMMA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s"/>
      <sheetName val="SC1 MRB"/>
      <sheetName val="State Voted"/>
      <sheetName val="Small Issue IDBs"/>
      <sheetName val="Monica"/>
      <sheetName val="SC4 MF- TDHCA"/>
      <sheetName val="REGION 1"/>
      <sheetName val="REGION 2"/>
      <sheetName val="REGION 3"/>
      <sheetName val="REGION 4"/>
      <sheetName val="REGION 5"/>
      <sheetName val="REGION 6"/>
      <sheetName val="REGION 7"/>
      <sheetName val="REGION 8A"/>
      <sheetName val="REGION 8B"/>
      <sheetName val="REGION 9"/>
      <sheetName val="REGION 10"/>
      <sheetName val="September 1"/>
      <sheetName val="Student Loan Bonds"/>
      <sheetName val="SC6 OTHER"/>
      <sheetName val="Carryforward 2003"/>
      <sheetName val="Carryforward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8">
          <cell r="L28">
            <v>97550000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33"/>
  <sheetViews>
    <sheetView workbookViewId="0">
      <selection activeCell="C23" sqref="C23"/>
    </sheetView>
  </sheetViews>
  <sheetFormatPr defaultRowHeight="12"/>
  <cols>
    <col min="1" max="1" width="5.42578125" customWidth="1"/>
    <col min="2" max="2" width="24.28515625" bestFit="1" customWidth="1"/>
    <col min="3" max="3" width="13.5703125" style="149" bestFit="1" customWidth="1"/>
    <col min="4" max="4" width="14.42578125" style="149" bestFit="1" customWidth="1"/>
    <col min="5" max="6" width="11.85546875" bestFit="1" customWidth="1"/>
    <col min="8" max="8" width="15.5703125" bestFit="1" customWidth="1"/>
    <col min="9" max="9" width="2.28515625" customWidth="1"/>
    <col min="10" max="10" width="15.85546875" bestFit="1" customWidth="1"/>
    <col min="12" max="12" width="15.85546875" bestFit="1" customWidth="1"/>
  </cols>
  <sheetData>
    <row r="6" spans="1:5">
      <c r="C6" s="291" t="s">
        <v>759</v>
      </c>
      <c r="D6" s="291" t="s">
        <v>765</v>
      </c>
    </row>
    <row r="7" spans="1:5" ht="12.75" thickBot="1">
      <c r="C7" s="291" t="s">
        <v>760</v>
      </c>
    </row>
    <row r="8" spans="1:5" ht="15" customHeight="1">
      <c r="A8" s="381" t="s">
        <v>37</v>
      </c>
      <c r="B8" s="294" t="s">
        <v>736</v>
      </c>
      <c r="C8" s="295">
        <f>Totals!$S$6</f>
        <v>1633491975</v>
      </c>
      <c r="D8" s="296">
        <f>Totals!$S$6</f>
        <v>1633491975</v>
      </c>
    </row>
    <row r="9" spans="1:5" ht="15" customHeight="1">
      <c r="A9" s="382"/>
      <c r="B9" s="297" t="s">
        <v>749</v>
      </c>
      <c r="C9" s="289">
        <v>179894518.55000001</v>
      </c>
      <c r="D9" s="298">
        <v>192694518.55000001</v>
      </c>
      <c r="E9" t="s">
        <v>763</v>
      </c>
    </row>
    <row r="10" spans="1:5" ht="15" customHeight="1" thickBot="1">
      <c r="A10" s="383"/>
      <c r="B10" s="300" t="s">
        <v>750</v>
      </c>
      <c r="C10" s="288">
        <f>SUM(C8:C9)</f>
        <v>1813386493.55</v>
      </c>
      <c r="D10" s="301">
        <f>SUM(D8:D9)</f>
        <v>1826186493.55</v>
      </c>
    </row>
    <row r="11" spans="1:5" ht="12.75" thickBot="1">
      <c r="A11" s="293"/>
      <c r="B11" s="292"/>
      <c r="C11" s="289"/>
      <c r="D11" s="289"/>
    </row>
    <row r="12" spans="1:5">
      <c r="A12" s="378" t="s">
        <v>764</v>
      </c>
      <c r="B12" s="294" t="s">
        <v>751</v>
      </c>
      <c r="C12" s="295">
        <v>166861717</v>
      </c>
      <c r="D12" s="296">
        <v>166861717</v>
      </c>
    </row>
    <row r="13" spans="1:5">
      <c r="A13" s="379"/>
      <c r="B13" s="297" t="s">
        <v>768</v>
      </c>
      <c r="C13" s="289"/>
      <c r="D13" s="298">
        <v>10450000</v>
      </c>
    </row>
    <row r="14" spans="1:5">
      <c r="A14" s="379"/>
      <c r="B14" s="297" t="s">
        <v>752</v>
      </c>
      <c r="C14" s="289">
        <v>556976000</v>
      </c>
      <c r="D14" s="372">
        <f>SUM(C14-'Carryforward 2003'!$L26-Carryforward2002!$L23-Carryforward2002!$L28)</f>
        <v>388626000</v>
      </c>
      <c r="E14" s="178"/>
    </row>
    <row r="15" spans="1:5">
      <c r="A15" s="379"/>
      <c r="B15" s="297" t="s">
        <v>632</v>
      </c>
      <c r="C15" s="289">
        <v>70800000</v>
      </c>
      <c r="D15" s="298">
        <f>Carryforward2002!L15+Carryforward2002!L23+Carryforward2002!L28</f>
        <v>123550000</v>
      </c>
    </row>
    <row r="16" spans="1:5">
      <c r="A16" s="379"/>
      <c r="B16" s="297" t="s">
        <v>753</v>
      </c>
      <c r="C16" s="289">
        <v>0</v>
      </c>
      <c r="D16" s="298">
        <v>0</v>
      </c>
    </row>
    <row r="17" spans="1:14">
      <c r="A17" s="379"/>
      <c r="B17" s="297" t="s">
        <v>11</v>
      </c>
      <c r="C17" s="289">
        <v>3700000</v>
      </c>
      <c r="D17" s="298">
        <v>3700000</v>
      </c>
    </row>
    <row r="18" spans="1:14" ht="11.25" customHeight="1">
      <c r="A18" s="379"/>
      <c r="B18" s="297" t="s">
        <v>754</v>
      </c>
      <c r="C18" s="289">
        <v>391476662.44999999</v>
      </c>
      <c r="D18" s="298">
        <v>391476662.44999999</v>
      </c>
    </row>
    <row r="19" spans="1:14" ht="11.25" customHeight="1">
      <c r="A19" s="379"/>
      <c r="B19" s="297" t="s">
        <v>761</v>
      </c>
      <c r="C19" s="289">
        <v>22108337.550000001</v>
      </c>
      <c r="D19" s="298">
        <v>22108337.550000001</v>
      </c>
      <c r="E19" s="178"/>
    </row>
    <row r="20" spans="1:14">
      <c r="A20" s="379"/>
      <c r="B20" s="297" t="s">
        <v>722</v>
      </c>
      <c r="C20" s="289">
        <v>175000000</v>
      </c>
      <c r="D20" s="298">
        <v>140000000</v>
      </c>
    </row>
    <row r="21" spans="1:14">
      <c r="A21" s="379"/>
      <c r="B21" s="297" t="s">
        <v>755</v>
      </c>
      <c r="C21" s="289">
        <v>94206746</v>
      </c>
      <c r="D21" s="298">
        <v>94209746</v>
      </c>
    </row>
    <row r="22" spans="1:14">
      <c r="A22" s="379"/>
      <c r="B22" s="297" t="s">
        <v>756</v>
      </c>
      <c r="C22" s="289">
        <v>100000000</v>
      </c>
      <c r="D22" s="298">
        <v>100000000</v>
      </c>
      <c r="H22" s="270">
        <v>556976000</v>
      </c>
      <c r="L22" t="s">
        <v>746</v>
      </c>
    </row>
    <row r="23" spans="1:14">
      <c r="A23" s="379"/>
      <c r="B23" s="297" t="s">
        <v>758</v>
      </c>
      <c r="C23" s="289">
        <v>0</v>
      </c>
      <c r="D23" s="298">
        <v>0</v>
      </c>
      <c r="L23" s="277">
        <f>Totals!R40</f>
        <v>177311717</v>
      </c>
      <c r="M23" t="s">
        <v>652</v>
      </c>
    </row>
    <row r="24" spans="1:14">
      <c r="A24" s="379"/>
      <c r="B24" s="297" t="s">
        <v>757</v>
      </c>
      <c r="C24" s="289">
        <v>388454030.55000001</v>
      </c>
      <c r="D24" s="298">
        <f>388704030.55-3500000</f>
        <v>385204030.55000001</v>
      </c>
      <c r="E24" t="s">
        <v>770</v>
      </c>
      <c r="J24">
        <v>556976000</v>
      </c>
      <c r="L24" s="285">
        <f>Totals!R41</f>
        <v>512176000</v>
      </c>
      <c r="M24" t="s">
        <v>740</v>
      </c>
      <c r="N24">
        <v>738526000</v>
      </c>
    </row>
    <row r="25" spans="1:14" ht="12.75" thickBot="1">
      <c r="A25" s="380"/>
      <c r="B25" s="299"/>
      <c r="C25" s="288">
        <f>SUM(C12:C24)</f>
        <v>1969583493.55</v>
      </c>
      <c r="D25" s="301">
        <f>SUM(D12:D24)</f>
        <v>1826186493.55</v>
      </c>
      <c r="L25" s="285">
        <f>Totals!R42</f>
        <v>0</v>
      </c>
      <c r="M25" t="s">
        <v>766</v>
      </c>
    </row>
    <row r="26" spans="1:14">
      <c r="B26" s="130"/>
      <c r="L26" s="277">
        <f>Totals!R43</f>
        <v>3700000</v>
      </c>
      <c r="M26" t="s">
        <v>741</v>
      </c>
    </row>
    <row r="27" spans="1:14">
      <c r="B27" s="292" t="s">
        <v>762</v>
      </c>
      <c r="C27" s="290">
        <f>SUM(C10-C25)</f>
        <v>-156197000</v>
      </c>
      <c r="D27" s="290">
        <f>SUM(D10-D25)</f>
        <v>0</v>
      </c>
      <c r="E27" s="373">
        <f>SUM(D27/D10)</f>
        <v>0</v>
      </c>
      <c r="L27" s="277">
        <f>Totals!R44</f>
        <v>391476662.44999999</v>
      </c>
      <c r="M27" t="s">
        <v>742</v>
      </c>
    </row>
    <row r="28" spans="1:14">
      <c r="B28" s="292"/>
      <c r="C28" s="290"/>
      <c r="D28" s="290"/>
      <c r="L28" s="277">
        <f>Totals!R45</f>
        <v>22108337.550000001</v>
      </c>
      <c r="M28" t="s">
        <v>767</v>
      </c>
    </row>
    <row r="29" spans="1:14">
      <c r="J29" t="s">
        <v>747</v>
      </c>
      <c r="L29" s="277">
        <f>Totals!R46</f>
        <v>175000000</v>
      </c>
      <c r="M29" t="s">
        <v>722</v>
      </c>
    </row>
    <row r="30" spans="1:14">
      <c r="H30" t="s">
        <v>748</v>
      </c>
      <c r="J30" s="270">
        <v>1633491975</v>
      </c>
      <c r="L30" s="277">
        <f>Totals!R47</f>
        <v>94209746</v>
      </c>
      <c r="M30" t="s">
        <v>743</v>
      </c>
    </row>
    <row r="31" spans="1:14">
      <c r="D31" s="374">
        <f>SUM(D24)</f>
        <v>385204030.55000001</v>
      </c>
      <c r="H31" t="s">
        <v>738</v>
      </c>
      <c r="J31" s="270">
        <v>192694518.55000001</v>
      </c>
      <c r="L31" s="277">
        <f>Totals!R48</f>
        <v>100000000</v>
      </c>
      <c r="M31" t="s">
        <v>160</v>
      </c>
    </row>
    <row r="32" spans="1:14" ht="12.75" thickBot="1">
      <c r="H32" t="s">
        <v>739</v>
      </c>
      <c r="J32" s="270">
        <v>1826186493.55</v>
      </c>
      <c r="L32" s="281">
        <f>SUM(L23:L31)</f>
        <v>1475982463</v>
      </c>
    </row>
    <row r="33" ht="12.75" thickTop="1"/>
  </sheetData>
  <mergeCells count="2">
    <mergeCell ref="A12:A25"/>
    <mergeCell ref="A8:A10"/>
  </mergeCells>
  <phoneticPr fontId="8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9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" sqref="E2:F2"/>
    </sheetView>
  </sheetViews>
  <sheetFormatPr defaultColWidth="10.85546875" defaultRowHeight="10.5"/>
  <cols>
    <col min="1" max="1" width="8.42578125" style="1" customWidth="1"/>
    <col min="2" max="2" width="10.140625" style="1" customWidth="1"/>
    <col min="3" max="3" width="7.42578125" style="1" customWidth="1"/>
    <col min="4" max="4" width="18.140625" style="30" bestFit="1" customWidth="1"/>
    <col min="5" max="5" width="3" style="30" customWidth="1"/>
    <col min="6" max="6" width="13.7109375" style="1" customWidth="1"/>
    <col min="7" max="7" width="1.85546875" style="1" customWidth="1"/>
    <col min="8" max="8" width="14.42578125" style="30" customWidth="1"/>
    <col min="9" max="9" width="1.85546875" style="1" customWidth="1"/>
    <col min="10" max="10" width="12.85546875" style="30" bestFit="1" customWidth="1"/>
    <col min="11" max="11" width="1.85546875" style="30" customWidth="1"/>
    <col min="12" max="12" width="15.42578125" style="1" customWidth="1"/>
    <col min="13" max="13" width="2.7109375" style="1" customWidth="1"/>
    <col min="14" max="14" width="15.5703125" style="1" customWidth="1"/>
    <col min="15" max="15" width="1.85546875" style="1" customWidth="1"/>
    <col min="16" max="16" width="14" style="1" customWidth="1"/>
    <col min="17" max="17" width="1.85546875" style="1" customWidth="1"/>
    <col min="18" max="18" width="14" style="1" customWidth="1"/>
    <col min="19" max="19" width="13.140625" style="1" bestFit="1" customWidth="1"/>
    <col min="20" max="20" width="14.28515625" style="1" bestFit="1" customWidth="1"/>
    <col min="21" max="16384" width="10.85546875" style="1"/>
  </cols>
  <sheetData>
    <row r="2" spans="1:19" s="5" customFormat="1">
      <c r="A2" s="11" t="s">
        <v>298</v>
      </c>
      <c r="B2" s="40"/>
      <c r="C2" s="1"/>
      <c r="D2" s="1"/>
      <c r="E2" s="384">
        <f ca="1">TODAY()</f>
        <v>43335</v>
      </c>
      <c r="F2" s="384"/>
      <c r="G2" s="3"/>
      <c r="H2" s="2"/>
      <c r="I2" s="3"/>
      <c r="J2" s="2"/>
      <c r="K2" s="2"/>
      <c r="L2" s="4"/>
      <c r="M2" s="4"/>
      <c r="N2" s="4"/>
    </row>
    <row r="3" spans="1:19" s="5" customFormat="1">
      <c r="A3" s="39"/>
      <c r="B3" s="1"/>
      <c r="C3" s="1"/>
      <c r="D3" s="1"/>
      <c r="E3" s="2"/>
      <c r="F3" s="58"/>
      <c r="G3" s="3"/>
      <c r="H3" s="2"/>
      <c r="I3" s="3"/>
      <c r="J3" s="2"/>
      <c r="K3" s="2"/>
      <c r="L3" s="4"/>
      <c r="M3" s="4"/>
      <c r="N3" s="4"/>
    </row>
    <row r="4" spans="1:19" s="5" customFormat="1">
      <c r="A4" s="39"/>
      <c r="B4" s="1"/>
      <c r="C4" s="1"/>
      <c r="D4" s="1"/>
      <c r="E4" s="2"/>
      <c r="F4" s="58"/>
      <c r="G4" s="3"/>
      <c r="H4" s="2"/>
      <c r="I4" s="3"/>
      <c r="J4" s="2"/>
      <c r="K4" s="2"/>
      <c r="L4" s="4"/>
      <c r="M4" s="4"/>
      <c r="N4" s="4"/>
    </row>
    <row r="5" spans="1:19" s="5" customFormat="1">
      <c r="A5" s="39"/>
      <c r="B5" s="1"/>
      <c r="C5" s="1"/>
      <c r="D5" s="12" t="s">
        <v>88</v>
      </c>
      <c r="E5" s="2"/>
      <c r="F5" s="59" t="s">
        <v>217</v>
      </c>
      <c r="G5" s="4"/>
      <c r="H5" s="13" t="s">
        <v>160</v>
      </c>
      <c r="I5" s="4"/>
      <c r="J5" s="13" t="s">
        <v>11</v>
      </c>
      <c r="K5" s="13"/>
      <c r="L5" s="4" t="s">
        <v>67</v>
      </c>
      <c r="M5" s="4"/>
      <c r="N5" s="4" t="s">
        <v>107</v>
      </c>
      <c r="O5" s="12"/>
      <c r="P5" s="12" t="s">
        <v>249</v>
      </c>
      <c r="Q5" s="12"/>
      <c r="R5" s="12" t="s">
        <v>91</v>
      </c>
    </row>
    <row r="6" spans="1:19" s="5" customFormat="1">
      <c r="A6" s="11" t="s">
        <v>299</v>
      </c>
      <c r="B6" s="1"/>
      <c r="C6" s="1"/>
      <c r="D6" s="30">
        <f>SUM(F6:R6)</f>
        <v>1633491975</v>
      </c>
      <c r="E6" s="13"/>
      <c r="F6" s="60">
        <f>'SC1 MRB'!$C$1</f>
        <v>483513624</v>
      </c>
      <c r="G6" s="3"/>
      <c r="H6" s="60">
        <f>+'State Voted'!C1</f>
        <v>130679358</v>
      </c>
      <c r="I6" s="3"/>
      <c r="J6" s="60">
        <f>+'Small Issue IDBs'!C1</f>
        <v>75140631</v>
      </c>
      <c r="K6" s="2"/>
      <c r="L6" s="60">
        <f>+'SC4 MF- TDHCA'!C1</f>
        <v>93925789</v>
      </c>
      <c r="M6" s="60"/>
      <c r="N6" s="129">
        <f>'REGION 1'!C1+'REGION 2'!C1+'REGION 3'!C1+'REGION 4'!C1+'REGION 5'!C1+'REGION 6'!C1+'REGION 7'!C1+'REGION 8A'!C1+'REGION 8B'!C1+'REGION 9'!C1+'REGION 10'!C1</f>
        <v>281777366</v>
      </c>
      <c r="P6" s="129">
        <f>+'Student Loan Bonds'!C1</f>
        <v>143747294</v>
      </c>
      <c r="R6" s="129">
        <f xml:space="preserve"> 'SC6 OTHER'!$C$1</f>
        <v>424707913</v>
      </c>
      <c r="S6" s="286">
        <f>SUM(F6:R6)</f>
        <v>1633491975</v>
      </c>
    </row>
    <row r="7" spans="1:19" s="5" customFormat="1">
      <c r="A7" s="39"/>
      <c r="B7" s="1"/>
      <c r="C7" s="1"/>
      <c r="D7" s="56"/>
      <c r="E7" s="2"/>
      <c r="F7" s="60"/>
      <c r="G7" s="3"/>
      <c r="H7" s="60"/>
      <c r="I7" s="3"/>
      <c r="J7" s="60"/>
      <c r="K7" s="2"/>
      <c r="L7" s="60"/>
      <c r="M7" s="60"/>
      <c r="N7" s="60"/>
      <c r="P7" s="60"/>
      <c r="R7" s="60"/>
      <c r="S7" s="287"/>
    </row>
    <row r="8" spans="1:19" s="5" customFormat="1">
      <c r="A8" s="39" t="s">
        <v>291</v>
      </c>
      <c r="B8" s="1"/>
      <c r="C8" s="1"/>
      <c r="D8" s="56">
        <f>SUM(F8:R8)</f>
        <v>4895190554.5</v>
      </c>
      <c r="E8" s="2"/>
      <c r="F8" s="60">
        <f>'SC1 MRB'!$D$63</f>
        <v>784394590.5</v>
      </c>
      <c r="G8" s="3"/>
      <c r="H8" s="60">
        <f>+'State Voted'!D16</f>
        <v>100000000</v>
      </c>
      <c r="I8" s="3"/>
      <c r="J8" s="60">
        <f>+'Small Issue IDBs'!D29</f>
        <v>25450000</v>
      </c>
      <c r="K8" s="2"/>
      <c r="L8" s="60">
        <f>+'SC4 MF- TDHCA'!F114</f>
        <v>1385100000</v>
      </c>
      <c r="M8" s="60"/>
      <c r="N8" s="60">
        <f>'REGION 1'!F20+'REGION 2'!F12+'REGION 3'!F50+'REGION 4'!F21+'REGION 5'!F15+'REGION 6'!F84+'REGION 7'!F34+'REGION 8A'!F32+'REGION 8B'!F18+'REGION 9'!F16+'REGION 10'!F15</f>
        <v>1774245964</v>
      </c>
      <c r="P8" s="60">
        <f>+'Student Loan Bonds'!D15</f>
        <v>175000000</v>
      </c>
      <c r="R8" s="60">
        <f>'SC6 OTHER'!$F$39</f>
        <v>651000000</v>
      </c>
      <c r="S8" s="286">
        <f>SUM(F8:R8)</f>
        <v>4895190554.5</v>
      </c>
    </row>
    <row r="9" spans="1:19" s="5" customFormat="1">
      <c r="A9" s="40"/>
      <c r="B9" s="1"/>
      <c r="C9" s="1"/>
      <c r="D9" s="56"/>
      <c r="E9" s="2"/>
      <c r="F9" s="60"/>
      <c r="G9" s="3"/>
      <c r="H9" s="60"/>
      <c r="I9" s="3"/>
      <c r="J9" s="60"/>
      <c r="K9" s="2"/>
      <c r="L9" s="60"/>
      <c r="M9" s="60"/>
      <c r="N9" s="60"/>
      <c r="P9" s="60"/>
      <c r="R9" s="60"/>
      <c r="S9" s="287"/>
    </row>
    <row r="10" spans="1:19" s="5" customFormat="1">
      <c r="A10" s="40" t="s">
        <v>292</v>
      </c>
      <c r="B10" s="1"/>
      <c r="C10" s="1"/>
      <c r="D10" s="56">
        <f>SUM(F10:R10)</f>
        <v>2547382497</v>
      </c>
      <c r="E10" s="2"/>
      <c r="F10" s="60">
        <f>'SC1 MRB'!$G$63</f>
        <v>332135675</v>
      </c>
      <c r="G10" s="3"/>
      <c r="H10" s="60">
        <f>+'State Voted'!E16</f>
        <v>100000000</v>
      </c>
      <c r="I10" s="3"/>
      <c r="J10" s="60">
        <f>+'Small Issue IDBs'!E29</f>
        <v>25450000</v>
      </c>
      <c r="K10" s="2"/>
      <c r="L10" s="60">
        <f>+'SC4 MF- TDHCA'!G114</f>
        <v>515400000</v>
      </c>
      <c r="M10" s="60"/>
      <c r="N10" s="60">
        <f>'REGION 1'!G20+'REGION 2'!G12+'REGION 3'!G50+'REGION 4'!G21+'REGION 5'!G15+'REGION 6'!G84+'REGION 7'!G34+'REGION 8A'!G32+'REGION 8B'!G18+'REGION 9'!G16+'REGION 10'!G15</f>
        <v>823396822</v>
      </c>
      <c r="P10" s="60">
        <f>+'Student Loan Bonds'!E15</f>
        <v>175000000</v>
      </c>
      <c r="R10" s="60">
        <f>'SC6 OTHER'!$G$39</f>
        <v>576000000</v>
      </c>
      <c r="S10" s="286">
        <f>SUM(F10:R10)</f>
        <v>2547382497</v>
      </c>
    </row>
    <row r="11" spans="1:19" s="5" customFormat="1">
      <c r="A11" s="40"/>
      <c r="B11" s="1"/>
      <c r="C11" s="1"/>
      <c r="D11" s="56"/>
      <c r="E11" s="2"/>
      <c r="F11" s="60"/>
      <c r="G11" s="3"/>
      <c r="H11" s="60"/>
      <c r="I11" s="3"/>
      <c r="J11" s="60"/>
      <c r="K11" s="2"/>
      <c r="L11" s="60"/>
      <c r="M11" s="60"/>
      <c r="N11" s="60"/>
      <c r="P11" s="60"/>
      <c r="R11" s="60"/>
      <c r="S11" s="287"/>
    </row>
    <row r="12" spans="1:19" s="5" customFormat="1">
      <c r="A12" s="40" t="s">
        <v>293</v>
      </c>
      <c r="B12" s="1"/>
      <c r="C12" s="1"/>
      <c r="D12" s="56">
        <f>SUM(F12:R12)</f>
        <v>1548224125.45</v>
      </c>
      <c r="E12" s="2"/>
      <c r="F12" s="276">
        <f>'SC1 MRB'!$L$63</f>
        <v>321071463</v>
      </c>
      <c r="G12" s="4"/>
      <c r="H12" s="60">
        <f>+'State Voted'!J16</f>
        <v>100000000</v>
      </c>
      <c r="I12" s="3"/>
      <c r="J12" s="60">
        <f>+'Small Issue IDBs'!J29</f>
        <v>3700000</v>
      </c>
      <c r="K12" s="13"/>
      <c r="L12" s="276">
        <f>+'SC4 MF- TDHCA'!L114</f>
        <v>187450000</v>
      </c>
      <c r="M12" s="276"/>
      <c r="N12" s="276">
        <f>'REGION 1'!L20+'REGION 2'!L12+'REGION 3'!L50+'REGION 4'!L21+'REGION 5'!L15+'REGION 6'!L84+'REGION 7'!L34+'REGION 8A'!L32+'REGION 8B'!L18+'REGION 9'!L16+'REGION 10'!L15</f>
        <v>369526000</v>
      </c>
      <c r="P12" s="60">
        <f>+'Student Loan Bonds'!J15</f>
        <v>175000000</v>
      </c>
      <c r="R12" s="60">
        <f>'SC6 OTHER'!L39</f>
        <v>391476662.44999999</v>
      </c>
      <c r="S12" s="286">
        <f>SUM(F12:R12)</f>
        <v>1548224125.45</v>
      </c>
    </row>
    <row r="13" spans="1:19" s="5" customFormat="1">
      <c r="A13" s="40"/>
      <c r="B13" s="1"/>
      <c r="C13" s="1"/>
      <c r="D13" s="56"/>
      <c r="E13" s="2"/>
      <c r="F13" s="60"/>
      <c r="G13" s="3"/>
      <c r="H13" s="60"/>
      <c r="I13" s="3"/>
      <c r="J13" s="60"/>
      <c r="K13" s="2"/>
      <c r="L13" s="60"/>
      <c r="M13" s="60"/>
      <c r="N13" s="60"/>
      <c r="P13" s="60"/>
      <c r="R13" s="60"/>
      <c r="S13" s="287"/>
    </row>
    <row r="14" spans="1:19" s="5" customFormat="1">
      <c r="A14" s="40" t="s">
        <v>294</v>
      </c>
      <c r="B14" s="1"/>
      <c r="C14" s="1"/>
      <c r="D14" s="56">
        <f>SUM(F14:R14)</f>
        <v>1058658371.55</v>
      </c>
      <c r="E14" s="2"/>
      <c r="F14" s="60">
        <f>'SC1 MRB'!$M$63</f>
        <v>71064212</v>
      </c>
      <c r="G14" s="3"/>
      <c r="H14" s="60">
        <f>+'State Voted'!K16</f>
        <v>0</v>
      </c>
      <c r="I14" s="3"/>
      <c r="J14" s="60">
        <f>+'Small Issue IDBs'!K29</f>
        <v>21750000</v>
      </c>
      <c r="K14" s="2"/>
      <c r="L14" s="60">
        <f>+'SC4 MF- TDHCA'!M114</f>
        <v>327950000</v>
      </c>
      <c r="M14" s="60"/>
      <c r="N14" s="60">
        <f>'REGION 1'!M20+'REGION 2'!M12+'REGION 3'!M50+'REGION 4'!M21+'REGION 5'!M15+'REGION 6'!M84+'REGION 7'!M34+'REGION 8A'!M32+'REGION 8B'!M18+'REGION 9'!M16+'REGION 10'!M15</f>
        <v>453370822</v>
      </c>
      <c r="P14" s="60">
        <f>+'Student Loan Bonds'!K15</f>
        <v>0</v>
      </c>
      <c r="R14" s="60">
        <f>'SC6 OTHER'!M39</f>
        <v>184523337.55000001</v>
      </c>
      <c r="S14" s="286">
        <f>SUM(F14:R14)</f>
        <v>1058658371.55</v>
      </c>
    </row>
    <row r="15" spans="1:19" s="5" customFormat="1">
      <c r="A15" s="39"/>
      <c r="B15" s="1"/>
      <c r="C15" s="1"/>
      <c r="D15" s="56"/>
      <c r="E15" s="2"/>
      <c r="F15" s="60"/>
      <c r="G15" s="3"/>
      <c r="H15" s="60"/>
      <c r="I15" s="3"/>
      <c r="J15" s="60"/>
      <c r="K15" s="2"/>
      <c r="L15" s="60"/>
      <c r="M15" s="60"/>
      <c r="N15" s="60"/>
      <c r="P15" s="60"/>
      <c r="R15" s="60"/>
      <c r="S15" s="287"/>
    </row>
    <row r="16" spans="1:19" s="5" customFormat="1">
      <c r="A16" s="11" t="s">
        <v>185</v>
      </c>
      <c r="B16" s="1"/>
      <c r="C16" s="1"/>
      <c r="D16" s="56">
        <f>SUM(F16:R16)</f>
        <v>2347808057.5</v>
      </c>
      <c r="E16" s="2"/>
      <c r="F16" s="60">
        <f>+F8-F10</f>
        <v>452258915.5</v>
      </c>
      <c r="G16" s="3"/>
      <c r="H16" s="60">
        <f>+H8-H10</f>
        <v>0</v>
      </c>
      <c r="I16" s="3"/>
      <c r="J16" s="60">
        <f>+J8-J10</f>
        <v>0</v>
      </c>
      <c r="K16" s="2"/>
      <c r="L16" s="60">
        <f>+L8-L10</f>
        <v>869700000</v>
      </c>
      <c r="M16" s="60"/>
      <c r="N16" s="60">
        <f>+N8-N10</f>
        <v>950849142</v>
      </c>
      <c r="P16" s="60">
        <f>+P8-P10</f>
        <v>0</v>
      </c>
      <c r="R16" s="60">
        <f>+R8-R10</f>
        <v>75000000</v>
      </c>
      <c r="S16" s="286">
        <f>SUM(F16:R16)</f>
        <v>2347808057.5</v>
      </c>
    </row>
    <row r="17" spans="1:19" s="5" customFormat="1">
      <c r="A17" s="39"/>
      <c r="B17" s="1"/>
      <c r="C17" s="1"/>
      <c r="D17" s="56"/>
      <c r="E17" s="2"/>
      <c r="F17" s="60"/>
      <c r="G17" s="3"/>
      <c r="H17" s="60"/>
      <c r="I17" s="3"/>
      <c r="J17" s="60"/>
      <c r="K17" s="2"/>
      <c r="L17" s="60"/>
      <c r="M17" s="60"/>
      <c r="N17" s="60"/>
      <c r="P17" s="60"/>
      <c r="R17" s="60"/>
      <c r="S17" s="287"/>
    </row>
    <row r="18" spans="1:19" s="5" customFormat="1">
      <c r="A18" s="11" t="s">
        <v>154</v>
      </c>
      <c r="B18" s="1"/>
      <c r="C18" s="1"/>
      <c r="D18" s="56">
        <f>SUM(F18+H18+J18+L18+N18+P18+R18)</f>
        <v>144767849.55000001</v>
      </c>
      <c r="E18" s="2"/>
      <c r="F18" s="60">
        <f>+F6-F10+F14</f>
        <v>222442161</v>
      </c>
      <c r="G18" s="3"/>
      <c r="H18" s="60">
        <f>+H6-H10+H14</f>
        <v>30679358</v>
      </c>
      <c r="I18" s="3"/>
      <c r="J18" s="60">
        <f>+J6-J10+J14</f>
        <v>71440631</v>
      </c>
      <c r="K18" s="2"/>
      <c r="L18" s="60">
        <f>+L6-L10+L14</f>
        <v>-93524211</v>
      </c>
      <c r="M18" s="60"/>
      <c r="N18" s="60">
        <f>+N6-N10+N14</f>
        <v>-88248634</v>
      </c>
      <c r="P18" s="60">
        <f>+P6-P10+P14</f>
        <v>-31252706</v>
      </c>
      <c r="Q18" s="82"/>
      <c r="R18" s="60">
        <f>+R6-R10+R14</f>
        <v>33231250.550000012</v>
      </c>
      <c r="S18" s="286">
        <f>SUM(F18:R18)</f>
        <v>144767849.55000001</v>
      </c>
    </row>
    <row r="19" spans="1:19" ht="12.95" customHeight="1">
      <c r="D19" s="1"/>
      <c r="E19" s="1"/>
      <c r="H19" s="1"/>
      <c r="J19" s="1"/>
      <c r="K19" s="1"/>
    </row>
    <row r="20" spans="1:19">
      <c r="D20" s="1"/>
      <c r="E20" s="1"/>
      <c r="H20" s="1"/>
      <c r="J20" s="1"/>
      <c r="K20" s="1"/>
      <c r="N20" s="58">
        <f>SUM(L12:N12)</f>
        <v>556976000</v>
      </c>
    </row>
    <row r="21" spans="1:19">
      <c r="D21" s="1"/>
      <c r="E21" s="1"/>
      <c r="H21" s="1"/>
      <c r="J21" s="1"/>
      <c r="K21" s="1"/>
    </row>
    <row r="22" spans="1:19" ht="11.1" customHeight="1">
      <c r="D22" s="1"/>
      <c r="E22" s="1"/>
      <c r="H22" s="1"/>
      <c r="J22" s="1"/>
      <c r="K22" s="1"/>
    </row>
    <row r="23" spans="1:19">
      <c r="D23" s="1"/>
      <c r="E23" s="1"/>
      <c r="F23" s="187">
        <f>F8/F6</f>
        <v>1.6222802245175205</v>
      </c>
      <c r="G23" s="187"/>
      <c r="H23" s="187">
        <f>H8/H6</f>
        <v>0.76523179735853919</v>
      </c>
      <c r="I23" s="187"/>
      <c r="J23" s="187">
        <f>J8/J6</f>
        <v>0.33869824702430301</v>
      </c>
      <c r="K23" s="187"/>
      <c r="L23" s="187">
        <f>(L8+N8)/(L6+N6)</f>
        <v>8.4091547328102685</v>
      </c>
      <c r="M23" s="187"/>
      <c r="N23" s="187"/>
      <c r="O23" s="187"/>
      <c r="P23" s="187">
        <f>P8/P6</f>
        <v>1.2174142213765777</v>
      </c>
      <c r="Q23" s="187"/>
      <c r="R23" s="187">
        <f>R8/R6</f>
        <v>1.532818155898122</v>
      </c>
    </row>
    <row r="24" spans="1:19">
      <c r="D24" s="1"/>
      <c r="E24" s="1"/>
      <c r="H24" s="1"/>
      <c r="J24" s="1"/>
      <c r="K24" s="1"/>
      <c r="N24" s="58"/>
    </row>
    <row r="25" spans="1:19">
      <c r="D25" s="1"/>
      <c r="E25" s="1"/>
      <c r="H25" s="1"/>
      <c r="J25" s="1"/>
      <c r="K25" s="1"/>
    </row>
    <row r="26" spans="1:19">
      <c r="D26" s="1"/>
      <c r="E26" s="1"/>
      <c r="H26" s="1"/>
      <c r="J26" s="1"/>
      <c r="K26" s="1"/>
    </row>
    <row r="27" spans="1:19">
      <c r="D27" s="1"/>
      <c r="E27" s="1"/>
      <c r="H27" s="1"/>
      <c r="J27" s="1"/>
      <c r="K27" s="1"/>
      <c r="N27" s="58">
        <f>N8+L8</f>
        <v>3159345964</v>
      </c>
      <c r="P27" s="1" t="s">
        <v>728</v>
      </c>
    </row>
    <row r="28" spans="1:19">
      <c r="D28" s="1"/>
      <c r="E28" s="1"/>
      <c r="H28" s="1"/>
      <c r="J28" s="1"/>
      <c r="K28" s="1"/>
    </row>
    <row r="29" spans="1:19">
      <c r="D29" s="76">
        <f>D8-D14-'SC1 MRB'!E73</f>
        <v>2846896433.9499998</v>
      </c>
      <c r="E29" s="1"/>
      <c r="F29" s="1" t="s">
        <v>680</v>
      </c>
      <c r="H29" s="1"/>
      <c r="J29" s="1"/>
      <c r="K29" s="1"/>
    </row>
    <row r="30" spans="1:19">
      <c r="D30" s="1"/>
      <c r="E30" s="1"/>
      <c r="H30" s="1"/>
      <c r="J30" s="1"/>
      <c r="K30" s="1"/>
      <c r="N30" s="58">
        <f>L14+N14</f>
        <v>781320822</v>
      </c>
      <c r="P30" s="1" t="s">
        <v>729</v>
      </c>
    </row>
    <row r="31" spans="1:19">
      <c r="D31" s="1"/>
      <c r="E31" s="1"/>
      <c r="H31" s="1"/>
      <c r="J31" s="1"/>
      <c r="K31" s="1"/>
    </row>
    <row r="32" spans="1:19">
      <c r="D32" s="1"/>
      <c r="E32" s="1"/>
      <c r="H32" s="1"/>
      <c r="J32" s="1"/>
      <c r="K32" s="1"/>
      <c r="N32" s="61">
        <v>1615887615</v>
      </c>
      <c r="P32" s="1" t="s">
        <v>701</v>
      </c>
    </row>
    <row r="33" spans="4:21">
      <c r="D33" s="1"/>
      <c r="E33" s="1"/>
      <c r="H33" s="1"/>
      <c r="J33" s="1"/>
      <c r="K33" s="1"/>
      <c r="P33" s="1" t="s">
        <v>703</v>
      </c>
    </row>
    <row r="34" spans="4:21">
      <c r="D34" s="76">
        <f>D14+'SC1 MRB'!E73</f>
        <v>2048294120.55</v>
      </c>
      <c r="E34" s="1"/>
      <c r="H34" s="58">
        <f>L8+N8</f>
        <v>3159345964</v>
      </c>
      <c r="J34" s="1"/>
      <c r="K34" s="1"/>
      <c r="N34" s="273">
        <f>N27-N30-N32</f>
        <v>762137527</v>
      </c>
      <c r="P34" s="1" t="s">
        <v>730</v>
      </c>
    </row>
    <row r="35" spans="4:21">
      <c r="D35" s="1"/>
      <c r="E35" s="1"/>
      <c r="H35" s="58">
        <f>'SC4 MF- TDHCA'!F137+Totals!L14+Totals!N14</f>
        <v>970520822</v>
      </c>
      <c r="J35" s="1"/>
      <c r="K35" s="1"/>
    </row>
    <row r="36" spans="4:21">
      <c r="D36" s="1"/>
      <c r="E36" s="1"/>
      <c r="H36" s="58">
        <f>H34-H35</f>
        <v>2188825142</v>
      </c>
      <c r="J36" s="1" t="s">
        <v>681</v>
      </c>
      <c r="K36" s="1"/>
    </row>
    <row r="37" spans="4:21">
      <c r="D37" s="1"/>
      <c r="E37" s="1"/>
      <c r="H37" s="1"/>
      <c r="J37" s="1"/>
      <c r="K37" s="1"/>
    </row>
    <row r="38" spans="4:21">
      <c r="D38" s="1"/>
      <c r="E38" s="1"/>
      <c r="H38" s="1"/>
      <c r="J38" s="1"/>
      <c r="K38" s="1"/>
    </row>
    <row r="39" spans="4:21">
      <c r="D39" s="1"/>
      <c r="E39" s="1"/>
      <c r="H39" s="58">
        <f>L12+N12</f>
        <v>556976000</v>
      </c>
      <c r="J39" s="1"/>
      <c r="K39" s="1"/>
      <c r="N39" s="58">
        <f>L12+N12</f>
        <v>556976000</v>
      </c>
      <c r="R39" s="12" t="s">
        <v>746</v>
      </c>
    </row>
    <row r="40" spans="4:21">
      <c r="D40" s="1"/>
      <c r="E40" s="1"/>
      <c r="H40" s="1"/>
      <c r="J40" s="1"/>
      <c r="K40" s="1"/>
      <c r="N40" s="58"/>
      <c r="R40" s="277">
        <v>177311717</v>
      </c>
      <c r="S40" s="1" t="s">
        <v>652</v>
      </c>
    </row>
    <row r="41" spans="4:21">
      <c r="D41" s="1"/>
      <c r="E41" s="1"/>
      <c r="H41" s="1"/>
      <c r="J41" s="1"/>
      <c r="K41" s="1"/>
      <c r="P41" s="58">
        <f>SUM(L12:N12)</f>
        <v>556976000</v>
      </c>
      <c r="R41" s="285">
        <f>52750000+L12+N12-'[1]Carryforward 2003'!L28</f>
        <v>512176000</v>
      </c>
      <c r="S41" s="1" t="s">
        <v>740</v>
      </c>
      <c r="T41" s="277">
        <f>SUM(627776000+Carryforward2002!$L35)</f>
        <v>751326000</v>
      </c>
      <c r="U41" s="1">
        <v>141000000</v>
      </c>
    </row>
    <row r="42" spans="4:21">
      <c r="D42" s="1"/>
      <c r="E42" s="1"/>
      <c r="H42" s="1"/>
      <c r="J42" s="1"/>
      <c r="K42" s="1"/>
      <c r="P42" s="58"/>
      <c r="R42" s="285"/>
      <c r="S42" s="1" t="s">
        <v>766</v>
      </c>
      <c r="T42" s="277"/>
    </row>
    <row r="43" spans="4:21">
      <c r="D43" s="1"/>
      <c r="E43" s="1"/>
      <c r="H43" s="1"/>
      <c r="J43" s="1"/>
      <c r="K43" s="1"/>
      <c r="R43" s="277">
        <v>3700000</v>
      </c>
      <c r="S43" s="1" t="s">
        <v>741</v>
      </c>
    </row>
    <row r="44" spans="4:21">
      <c r="D44" s="1"/>
      <c r="E44" s="1"/>
      <c r="H44" s="1"/>
      <c r="J44" s="1"/>
      <c r="K44" s="1"/>
      <c r="P44" s="265"/>
      <c r="Q44" s="136"/>
      <c r="R44" s="277">
        <f>$R$12</f>
        <v>391476662.44999999</v>
      </c>
      <c r="S44" s="1" t="s">
        <v>742</v>
      </c>
    </row>
    <row r="45" spans="4:21">
      <c r="D45" s="1"/>
      <c r="E45" s="1"/>
      <c r="H45" s="1"/>
      <c r="J45" s="1"/>
      <c r="K45" s="1"/>
      <c r="P45" s="265"/>
      <c r="Q45" s="136"/>
      <c r="R45" s="277">
        <f>Carryforward2002!$F$33</f>
        <v>22108337.550000001</v>
      </c>
      <c r="S45" s="1" t="s">
        <v>767</v>
      </c>
    </row>
    <row r="46" spans="4:21">
      <c r="D46" s="1"/>
      <c r="E46" s="1"/>
      <c r="H46" s="1"/>
      <c r="J46" s="1"/>
      <c r="K46" s="1"/>
      <c r="P46" s="12" t="s">
        <v>747</v>
      </c>
      <c r="R46" s="277">
        <v>175000000</v>
      </c>
      <c r="S46" s="1" t="s">
        <v>722</v>
      </c>
    </row>
    <row r="47" spans="4:21">
      <c r="D47" s="1"/>
      <c r="E47" s="1"/>
      <c r="H47" s="1"/>
      <c r="J47" s="1"/>
      <c r="K47" s="1"/>
      <c r="N47" s="1" t="s">
        <v>748</v>
      </c>
      <c r="P47" s="277">
        <v>1633491975</v>
      </c>
      <c r="R47" s="277">
        <v>94209746</v>
      </c>
      <c r="S47" s="1" t="s">
        <v>743</v>
      </c>
    </row>
    <row r="48" spans="4:21">
      <c r="D48" s="1"/>
      <c r="E48" s="1"/>
      <c r="H48" s="1"/>
      <c r="J48" s="1"/>
      <c r="K48" s="1"/>
      <c r="N48" s="1" t="s">
        <v>738</v>
      </c>
      <c r="P48" s="277">
        <v>192694518.55000001</v>
      </c>
      <c r="R48" s="277">
        <v>100000000</v>
      </c>
      <c r="S48" s="1" t="s">
        <v>160</v>
      </c>
    </row>
    <row r="49" spans="4:20" ht="11.25" thickBot="1">
      <c r="D49" s="76">
        <f>D8</f>
        <v>4895190554.5</v>
      </c>
      <c r="E49" s="1"/>
      <c r="F49" s="1" t="s">
        <v>702</v>
      </c>
      <c r="H49" s="1" t="s">
        <v>704</v>
      </c>
      <c r="J49" s="1"/>
      <c r="K49" s="1"/>
      <c r="N49" s="1" t="s">
        <v>739</v>
      </c>
      <c r="P49" s="282">
        <f>SUM(P47:P48)</f>
        <v>1826186493.55</v>
      </c>
      <c r="R49" s="281">
        <f>SUM(R40:R48)</f>
        <v>1475982463</v>
      </c>
      <c r="S49" s="273">
        <f>SUM(P49-R49)</f>
        <v>350204030.54999995</v>
      </c>
    </row>
    <row r="50" spans="4:20" ht="11.25" thickTop="1">
      <c r="D50" s="265">
        <f>'SC1 MRB'!E73+'SC1 MRB'!F73</f>
        <v>1172535749</v>
      </c>
      <c r="E50" s="1"/>
      <c r="F50" s="1" t="s">
        <v>701</v>
      </c>
      <c r="H50" s="1"/>
      <c r="J50" s="1"/>
      <c r="K50" s="1"/>
      <c r="S50" s="61">
        <v>388454030.55000001</v>
      </c>
      <c r="T50" s="39" t="s">
        <v>745</v>
      </c>
    </row>
    <row r="51" spans="4:20">
      <c r="D51" s="76">
        <f>D14</f>
        <v>1058658371.55</v>
      </c>
      <c r="E51" s="1"/>
      <c r="F51" s="1" t="s">
        <v>703</v>
      </c>
      <c r="H51" s="1"/>
      <c r="J51" s="1"/>
      <c r="K51" s="1"/>
      <c r="S51" s="273">
        <f>SUM(S49-S50)</f>
        <v>-38250000.00000006</v>
      </c>
    </row>
    <row r="52" spans="4:20">
      <c r="D52" s="76">
        <f>D49-D50-D51</f>
        <v>2663996433.9499998</v>
      </c>
      <c r="E52" s="1"/>
      <c r="H52" s="1"/>
      <c r="J52" s="1"/>
      <c r="K52" s="1"/>
    </row>
    <row r="53" spans="4:20">
      <c r="D53" s="1"/>
      <c r="E53" s="1"/>
      <c r="H53" s="1"/>
      <c r="J53" s="1"/>
      <c r="K53" s="1"/>
      <c r="L53" s="266">
        <f>D50+D51</f>
        <v>2231194120.5500002</v>
      </c>
      <c r="R53" s="273">
        <f>SUM(P49-388454030.55)</f>
        <v>1437732463</v>
      </c>
      <c r="S53" s="273">
        <v>331</v>
      </c>
    </row>
    <row r="54" spans="4:20">
      <c r="D54" s="1"/>
      <c r="E54" s="1"/>
      <c r="H54" s="1"/>
      <c r="J54" s="1"/>
      <c r="K54" s="1"/>
      <c r="S54" s="1">
        <v>327950000</v>
      </c>
    </row>
    <row r="55" spans="4:20">
      <c r="D55" s="1"/>
      <c r="E55" s="1"/>
      <c r="H55" s="1"/>
      <c r="J55" s="1"/>
      <c r="K55" s="1"/>
      <c r="S55" s="1">
        <v>331950000</v>
      </c>
    </row>
    <row r="56" spans="4:20">
      <c r="D56" s="1"/>
      <c r="E56" s="1"/>
      <c r="H56" s="1"/>
      <c r="J56" s="1"/>
      <c r="K56" s="1"/>
      <c r="S56" s="1">
        <f>SUM(S54-S55)</f>
        <v>-4000000</v>
      </c>
    </row>
    <row r="57" spans="4:20">
      <c r="D57" s="1"/>
      <c r="E57" s="1"/>
      <c r="H57" s="1"/>
      <c r="J57" s="1"/>
      <c r="K57" s="1"/>
    </row>
    <row r="58" spans="4:20">
      <c r="D58" s="1"/>
      <c r="E58" s="1"/>
      <c r="H58" s="1"/>
      <c r="J58" s="1"/>
      <c r="K58" s="1"/>
    </row>
    <row r="59" spans="4:20">
      <c r="D59" s="1"/>
      <c r="E59" s="1"/>
      <c r="H59" s="1"/>
      <c r="J59" s="1"/>
      <c r="K59" s="1"/>
    </row>
    <row r="60" spans="4:20">
      <c r="D60" s="1"/>
      <c r="E60" s="1"/>
      <c r="H60" s="1"/>
      <c r="J60" s="1"/>
      <c r="K60" s="1"/>
    </row>
    <row r="61" spans="4:20">
      <c r="D61" s="1"/>
      <c r="E61" s="1"/>
      <c r="H61" s="1"/>
      <c r="J61" s="1"/>
      <c r="K61" s="1"/>
    </row>
    <row r="62" spans="4:20">
      <c r="D62" s="1"/>
      <c r="E62" s="1"/>
      <c r="H62" s="1"/>
      <c r="J62" s="1"/>
      <c r="K62" s="1"/>
    </row>
    <row r="63" spans="4:20">
      <c r="D63" s="1"/>
      <c r="E63" s="1"/>
      <c r="H63" s="1"/>
      <c r="J63" s="1"/>
      <c r="K63" s="1"/>
    </row>
    <row r="64" spans="4:20">
      <c r="D64" s="1"/>
      <c r="E64" s="1"/>
      <c r="H64" s="1"/>
      <c r="J64" s="1"/>
      <c r="K64" s="1"/>
    </row>
    <row r="65" spans="4:18">
      <c r="D65" s="1"/>
      <c r="E65" s="1"/>
      <c r="H65" s="1"/>
      <c r="J65" s="1"/>
      <c r="K65" s="1"/>
    </row>
    <row r="66" spans="4:18">
      <c r="D66" s="1"/>
      <c r="E66" s="1"/>
      <c r="H66" s="1"/>
      <c r="J66" s="1"/>
      <c r="K66" s="1"/>
    </row>
    <row r="67" spans="4:18">
      <c r="D67" s="1"/>
      <c r="E67" s="1"/>
      <c r="H67" s="1"/>
      <c r="J67" s="1"/>
      <c r="K67" s="1"/>
    </row>
    <row r="68" spans="4:18">
      <c r="D68" s="1"/>
      <c r="E68" s="1"/>
      <c r="H68" s="1"/>
      <c r="J68" s="1"/>
      <c r="K68" s="1"/>
    </row>
    <row r="69" spans="4:18">
      <c r="D69" s="1"/>
      <c r="E69" s="1"/>
      <c r="H69" s="1"/>
      <c r="J69" s="1"/>
      <c r="K69" s="1"/>
      <c r="L69" s="58">
        <f>L8+N8</f>
        <v>3159345964</v>
      </c>
      <c r="N69" s="1" t="s">
        <v>702</v>
      </c>
    </row>
    <row r="70" spans="4:18">
      <c r="D70" s="1"/>
      <c r="E70" s="1"/>
      <c r="H70" s="265">
        <f>'SC4 MF- TDHCA'!F12+'SC4 MF- TDHCA'!F15+'SC4 MF- TDHCA'!F23+'SC4 MF- TDHCA'!F26+'SC4 MF- TDHCA'!F27+'SC4 MF- TDHCA'!F29+'SC4 MF- TDHCA'!F31+'SC4 MF- TDHCA'!F32+'SC4 MF- TDHCA'!F33+'SC4 MF- TDHCA'!F34+'SC4 MF- TDHCA'!F37+'SC4 MF- TDHCA'!F38+'REGION 1'!F9+'REGION 1'!F10+'REGION 1'!F11+'REGION 3'!F15+'REGION 3'!F18+'REGION 3'!F20+'REGION 3'!F21+'REGION 3'!F22+'REGION 3'!F23+'REGION 3'!F27+'REGION 3'!F30+'REGION 3'!F31+'REGION 3'!F32+'REGION 3'!F33+'REGION 3'!F34+'REGION 3'!F35+'REGION 3'!F36+'REGION 3'!F37+'REGION 3'!F38+'REGION 3'!F39+'REGION 4'!F9+'REGION 6'!F10+'REGION 6'!F14+'REGION 6'!F17+'REGION 6'!F19+'REGION 6'!F20+'REGION 6'!F23+'REGION 6'!F24+'REGION 6'!F27+'REGION 6'!F30+'REGION 6'!F31+'REGION 6'!F35+'REGION 6'!F38+'REGION 6'!F39+'REGION 6'!F40+'REGION 6'!F41+'REGION 6'!F42+'REGION 6'!F44+'REGION 6'!F46+'REGION 6'!F47+'REGION 6'!F48+'REGION 6'!F49+'REGION 6'!F51+'REGION 6'!F52+'REGION 6'!F55+'REGION 6'!F56+'REGION 6'!F57+'REGION 6'!F58+'REGION 6'!F59+'REGION 6'!F62+'REGION 6'!F65+'REGION 7'!F23</f>
        <v>828440615</v>
      </c>
      <c r="J70" s="265">
        <f>'REGION 8A'!F14+'REGION 8A'!F16+'REGION 8A'!F17+'REGION 8A'!F18+'REGION 8A'!F19+'REGION 8A'!F20+'REGION 8A'!F21+'REGION 8A'!F22+'REGION 8A'!F23</f>
        <v>123400000</v>
      </c>
      <c r="K70" s="1"/>
      <c r="L70" s="265">
        <f>H70+J70</f>
        <v>951840615</v>
      </c>
      <c r="N70" s="1" t="s">
        <v>701</v>
      </c>
      <c r="R70" s="266">
        <f>L70+L71</f>
        <v>1733161437</v>
      </c>
    </row>
    <row r="71" spans="4:18">
      <c r="D71" s="1"/>
      <c r="E71" s="1"/>
      <c r="H71" s="1"/>
      <c r="J71" s="1"/>
      <c r="K71" s="1"/>
      <c r="L71" s="58">
        <f>L14+N14</f>
        <v>781320822</v>
      </c>
      <c r="N71" s="1" t="s">
        <v>703</v>
      </c>
    </row>
    <row r="72" spans="4:18">
      <c r="D72" s="1"/>
      <c r="E72" s="1"/>
      <c r="H72" s="1"/>
      <c r="J72" s="1"/>
      <c r="K72" s="1"/>
      <c r="L72" s="266">
        <f>L69-L70-L71</f>
        <v>1426184527</v>
      </c>
      <c r="N72" s="1" t="s">
        <v>705</v>
      </c>
    </row>
    <row r="73" spans="4:18" ht="12">
      <c r="D73" s="1"/>
      <c r="E73" s="1"/>
      <c r="F73" s="112"/>
      <c r="G73" s="112"/>
      <c r="H73" s="1"/>
      <c r="J73" s="1"/>
      <c r="K73" s="1"/>
    </row>
    <row r="74" spans="4:18">
      <c r="D74" s="1"/>
      <c r="E74" s="1"/>
      <c r="H74" s="1"/>
      <c r="J74" s="1"/>
      <c r="K74" s="1"/>
    </row>
    <row r="75" spans="4:18">
      <c r="D75" s="1"/>
      <c r="E75" s="1"/>
      <c r="H75" s="1"/>
      <c r="J75" s="1"/>
      <c r="K75" s="1"/>
    </row>
    <row r="76" spans="4:18">
      <c r="D76" s="1"/>
      <c r="E76" s="1"/>
      <c r="H76" s="1"/>
      <c r="J76" s="1"/>
      <c r="K76" s="1"/>
    </row>
    <row r="77" spans="4:18">
      <c r="D77" s="1"/>
      <c r="E77" s="1"/>
      <c r="H77" s="1"/>
      <c r="J77" s="1"/>
      <c r="K77" s="1"/>
    </row>
    <row r="78" spans="4:18">
      <c r="D78" s="1"/>
      <c r="E78" s="1"/>
      <c r="H78" s="1"/>
      <c r="J78" s="1"/>
      <c r="K78" s="1"/>
    </row>
    <row r="79" spans="4:18">
      <c r="D79" s="1"/>
      <c r="E79" s="1"/>
      <c r="H79" s="1"/>
      <c r="J79" s="1"/>
      <c r="K79" s="1"/>
    </row>
    <row r="80" spans="4:18">
      <c r="D80" s="1"/>
      <c r="E80" s="1"/>
      <c r="H80" s="1"/>
      <c r="J80" s="1"/>
      <c r="K80" s="1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</sheetData>
  <mergeCells count="1">
    <mergeCell ref="E2:F2"/>
  </mergeCells>
  <phoneticPr fontId="0" type="noConversion"/>
  <pageMargins left="0.75" right="0.75" top="1" bottom="1" header="0.5" footer="0.5"/>
  <pageSetup scale="86" orientation="landscape" horizontalDpi="4294967292" verticalDpi="4294967292" r:id="rId1"/>
  <headerFooter alignWithMargins="0">
    <oddHeader>&amp;CSTATE OF TEXAS
2003 PRIVATE ACTIVITY BOND ALLOCATION PROGRAM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J7" sqref="J7"/>
    </sheetView>
  </sheetViews>
  <sheetFormatPr defaultRowHeight="12"/>
  <cols>
    <col min="2" max="2" width="10.28515625" bestFit="1" customWidth="1"/>
    <col min="3" max="3" width="18.5703125" bestFit="1" customWidth="1"/>
    <col min="4" max="4" width="21.42578125" bestFit="1" customWidth="1"/>
    <col min="6" max="6" width="13.42578125" bestFit="1" customWidth="1"/>
    <col min="7" max="7" width="14" bestFit="1" customWidth="1"/>
    <col min="8" max="8" width="9.85546875" bestFit="1" customWidth="1"/>
    <col min="9" max="9" width="13.5703125" bestFit="1" customWidth="1"/>
    <col min="10" max="10" width="17" bestFit="1" customWidth="1"/>
    <col min="11" max="11" width="10" bestFit="1" customWidth="1"/>
    <col min="12" max="12" width="14.42578125" bestFit="1" customWidth="1"/>
    <col min="13" max="13" width="9.5703125" bestFit="1" customWidth="1"/>
  </cols>
  <sheetData>
    <row r="1" spans="1:17">
      <c r="J1" s="254" t="s">
        <v>638</v>
      </c>
      <c r="K1" t="s">
        <v>668</v>
      </c>
      <c r="L1" t="s">
        <v>637</v>
      </c>
    </row>
    <row r="2" spans="1:17" s="315" customFormat="1">
      <c r="A2" s="314">
        <v>2630</v>
      </c>
      <c r="B2" s="314" t="s">
        <v>633</v>
      </c>
      <c r="C2" s="314" t="s">
        <v>78</v>
      </c>
      <c r="D2" s="314" t="s">
        <v>769</v>
      </c>
      <c r="E2" s="314" t="s">
        <v>44</v>
      </c>
      <c r="F2" s="366">
        <v>12800000</v>
      </c>
      <c r="G2" s="319">
        <v>12800000</v>
      </c>
      <c r="H2" s="320">
        <v>36067</v>
      </c>
      <c r="I2" s="367">
        <f>H2+35</f>
        <v>36102</v>
      </c>
      <c r="J2" s="319">
        <v>12800000</v>
      </c>
      <c r="K2" s="320">
        <f>H2+120</f>
        <v>36187</v>
      </c>
      <c r="L2" s="319">
        <v>12800000</v>
      </c>
      <c r="M2" s="323"/>
      <c r="N2" s="320"/>
    </row>
    <row r="3" spans="1:17" s="40" customFormat="1">
      <c r="A3" s="215">
        <v>2640</v>
      </c>
      <c r="B3" s="215" t="s">
        <v>630</v>
      </c>
      <c r="C3" s="233" t="s">
        <v>156</v>
      </c>
      <c r="D3" s="215" t="s">
        <v>631</v>
      </c>
      <c r="E3" s="215" t="s">
        <v>232</v>
      </c>
      <c r="F3" s="216">
        <v>15000000</v>
      </c>
      <c r="G3" s="217">
        <v>15000000</v>
      </c>
      <c r="H3" s="218">
        <v>36124</v>
      </c>
      <c r="I3" s="219">
        <f>+H3+35</f>
        <v>36159</v>
      </c>
      <c r="J3" s="166">
        <v>15000000</v>
      </c>
      <c r="K3" s="219">
        <f>+H3+120</f>
        <v>36244</v>
      </c>
      <c r="L3" s="243">
        <v>15000000</v>
      </c>
      <c r="M3" s="221"/>
      <c r="N3" s="219"/>
    </row>
    <row r="4" spans="1:17" s="40" customFormat="1">
      <c r="A4" s="215">
        <v>2631</v>
      </c>
      <c r="B4" s="215" t="s">
        <v>627</v>
      </c>
      <c r="C4" s="233" t="s">
        <v>2</v>
      </c>
      <c r="D4" s="215" t="s">
        <v>634</v>
      </c>
      <c r="E4" s="215" t="s">
        <v>635</v>
      </c>
      <c r="F4" s="216">
        <v>15000000</v>
      </c>
      <c r="G4" s="222">
        <v>15000000</v>
      </c>
      <c r="H4" s="223">
        <v>36067</v>
      </c>
      <c r="I4" s="219">
        <f>H4+35</f>
        <v>36102</v>
      </c>
      <c r="J4" s="166">
        <v>15000000</v>
      </c>
      <c r="K4" s="219">
        <f>H4+120</f>
        <v>36187</v>
      </c>
      <c r="L4" s="166">
        <v>15000000</v>
      </c>
      <c r="M4" s="220"/>
      <c r="N4" s="219"/>
    </row>
    <row r="5" spans="1:17" s="331" customFormat="1">
      <c r="A5" s="324">
        <v>2635</v>
      </c>
      <c r="B5" s="324" t="s">
        <v>633</v>
      </c>
      <c r="C5" s="325" t="s">
        <v>156</v>
      </c>
      <c r="D5" s="324" t="s">
        <v>636</v>
      </c>
      <c r="E5" s="324" t="s">
        <v>24</v>
      </c>
      <c r="F5" s="326">
        <v>14000000</v>
      </c>
      <c r="G5" s="327">
        <v>14000000</v>
      </c>
      <c r="H5" s="328">
        <v>36085</v>
      </c>
      <c r="I5" s="329">
        <f>+H5+35</f>
        <v>36120</v>
      </c>
      <c r="J5" s="319">
        <v>14000000</v>
      </c>
      <c r="K5" s="329">
        <f>+H5+120</f>
        <v>36205</v>
      </c>
      <c r="L5" s="370">
        <v>1800000</v>
      </c>
      <c r="M5" s="330"/>
    </row>
    <row r="6" spans="1:17" s="331" customFormat="1">
      <c r="A6" s="332">
        <v>2634</v>
      </c>
      <c r="B6" s="332" t="s">
        <v>633</v>
      </c>
      <c r="C6" s="333" t="s">
        <v>250</v>
      </c>
      <c r="D6" s="332" t="s">
        <v>639</v>
      </c>
      <c r="E6" s="332" t="s">
        <v>353</v>
      </c>
      <c r="F6" s="334">
        <v>14000000</v>
      </c>
      <c r="G6" s="334">
        <v>14000000</v>
      </c>
      <c r="H6" s="335">
        <v>36085</v>
      </c>
      <c r="I6" s="329">
        <f>H6+35</f>
        <v>36120</v>
      </c>
      <c r="J6" s="319">
        <v>14000000</v>
      </c>
      <c r="K6" s="329">
        <f>H6+120</f>
        <v>36205</v>
      </c>
      <c r="L6" s="370">
        <v>250000</v>
      </c>
      <c r="M6" s="336"/>
      <c r="N6" s="329"/>
    </row>
    <row r="7" spans="1:17" s="40" customFormat="1">
      <c r="A7" s="215">
        <v>2642</v>
      </c>
      <c r="B7" s="215" t="s">
        <v>630</v>
      </c>
      <c r="C7" s="233" t="s">
        <v>156</v>
      </c>
      <c r="D7" s="215" t="s">
        <v>642</v>
      </c>
      <c r="E7" s="215" t="s">
        <v>232</v>
      </c>
      <c r="F7" s="216">
        <v>12000000</v>
      </c>
      <c r="G7" s="216">
        <v>12000000</v>
      </c>
      <c r="H7" s="218">
        <v>36125</v>
      </c>
      <c r="I7" s="219">
        <f>+H7+35</f>
        <v>36160</v>
      </c>
      <c r="J7" s="166">
        <v>12000000</v>
      </c>
      <c r="K7" s="219">
        <f>+H7+120</f>
        <v>36245</v>
      </c>
      <c r="L7" s="243">
        <v>12000000</v>
      </c>
      <c r="M7" s="221"/>
    </row>
    <row r="8" spans="1:17" s="345" customFormat="1">
      <c r="A8" s="337">
        <v>2637</v>
      </c>
      <c r="B8" s="325" t="s">
        <v>633</v>
      </c>
      <c r="C8" s="325" t="s">
        <v>156</v>
      </c>
      <c r="D8" s="337" t="s">
        <v>643</v>
      </c>
      <c r="E8" s="337" t="s">
        <v>644</v>
      </c>
      <c r="F8" s="338">
        <v>15000000</v>
      </c>
      <c r="G8" s="339">
        <v>15000000</v>
      </c>
      <c r="H8" s="340">
        <v>36116</v>
      </c>
      <c r="I8" s="341">
        <f>+H8+35</f>
        <v>36151</v>
      </c>
      <c r="J8" s="319">
        <v>15000000</v>
      </c>
      <c r="K8" s="341">
        <f>+H8+120</f>
        <v>36236</v>
      </c>
      <c r="L8" s="342">
        <v>1000000</v>
      </c>
      <c r="M8" s="319"/>
      <c r="N8" s="343"/>
      <c r="O8" s="344"/>
      <c r="P8" s="344"/>
      <c r="Q8" s="344"/>
    </row>
    <row r="9" spans="1:17" s="1" customFormat="1">
      <c r="A9" s="188">
        <v>2638</v>
      </c>
      <c r="B9" s="231" t="s">
        <v>627</v>
      </c>
      <c r="C9" s="233" t="s">
        <v>156</v>
      </c>
      <c r="D9" s="231" t="s">
        <v>645</v>
      </c>
      <c r="E9" s="231" t="s">
        <v>232</v>
      </c>
      <c r="F9" s="232">
        <v>11000000</v>
      </c>
      <c r="G9" s="30">
        <v>11000000</v>
      </c>
      <c r="H9" s="124">
        <v>36118</v>
      </c>
      <c r="I9" s="3">
        <f>+H9+35</f>
        <v>36153</v>
      </c>
      <c r="J9" s="166">
        <v>11000000</v>
      </c>
      <c r="K9" s="3">
        <f>+H9+120</f>
        <v>36238</v>
      </c>
      <c r="L9" s="371">
        <v>11000000</v>
      </c>
      <c r="M9" s="136"/>
      <c r="N9" s="3"/>
    </row>
    <row r="10" spans="1:17" s="1" customFormat="1">
      <c r="A10" s="142">
        <v>2639</v>
      </c>
      <c r="B10" s="142" t="s">
        <v>627</v>
      </c>
      <c r="C10" s="233" t="s">
        <v>156</v>
      </c>
      <c r="D10" s="142" t="s">
        <v>646</v>
      </c>
      <c r="E10" s="142" t="s">
        <v>125</v>
      </c>
      <c r="F10" s="143">
        <v>15000000</v>
      </c>
      <c r="G10" s="30">
        <v>15000000</v>
      </c>
      <c r="H10" s="124">
        <v>36119</v>
      </c>
      <c r="I10" s="3">
        <f>+H10+35</f>
        <v>36154</v>
      </c>
      <c r="J10" s="166">
        <v>15000000</v>
      </c>
      <c r="K10" s="3">
        <f>+H10+120</f>
        <v>36239</v>
      </c>
      <c r="L10" s="166">
        <v>15000000</v>
      </c>
      <c r="N10" s="3"/>
    </row>
    <row r="11" spans="1:17" s="1" customFormat="1">
      <c r="A11" s="142">
        <v>2641</v>
      </c>
      <c r="B11" s="142" t="s">
        <v>627</v>
      </c>
      <c r="C11" s="233" t="s">
        <v>64</v>
      </c>
      <c r="D11" s="142" t="s">
        <v>647</v>
      </c>
      <c r="E11" s="142" t="s">
        <v>457</v>
      </c>
      <c r="F11" s="143">
        <v>15000000</v>
      </c>
      <c r="G11" s="143">
        <v>15000000</v>
      </c>
      <c r="H11" s="144">
        <v>36125</v>
      </c>
      <c r="I11" s="3">
        <f>H11+35</f>
        <v>36160</v>
      </c>
      <c r="J11" s="166">
        <v>15000000</v>
      </c>
      <c r="K11" s="3">
        <f>H11+120</f>
        <v>36245</v>
      </c>
      <c r="L11" s="371">
        <v>15000000</v>
      </c>
      <c r="M11" s="56"/>
      <c r="N11" s="3"/>
    </row>
    <row r="12" spans="1:17">
      <c r="J12" s="278"/>
    </row>
    <row r="13" spans="1:17" s="142" customFormat="1">
      <c r="A13" s="142">
        <v>2633</v>
      </c>
      <c r="B13" s="142" t="s">
        <v>627</v>
      </c>
      <c r="C13" s="142" t="s">
        <v>648</v>
      </c>
      <c r="D13" s="146">
        <v>19580750</v>
      </c>
      <c r="E13" s="156">
        <v>0.92</v>
      </c>
      <c r="F13" s="146">
        <v>18014290</v>
      </c>
      <c r="G13" s="155">
        <v>18014290</v>
      </c>
      <c r="H13" s="144">
        <v>36071</v>
      </c>
      <c r="I13" s="157">
        <f>H13+35</f>
        <v>36106</v>
      </c>
      <c r="J13" s="279">
        <v>18014290</v>
      </c>
      <c r="K13" s="157">
        <f>SUM(H13+180)</f>
        <v>36251</v>
      </c>
      <c r="L13" s="146">
        <v>18014290</v>
      </c>
      <c r="M13" s="236"/>
      <c r="N13" s="144"/>
    </row>
    <row r="14" spans="1:17" s="346" customFormat="1">
      <c r="A14" s="346">
        <v>2636</v>
      </c>
      <c r="B14" s="346" t="s">
        <v>633</v>
      </c>
      <c r="C14" s="346" t="s">
        <v>651</v>
      </c>
      <c r="D14" s="347" t="s">
        <v>652</v>
      </c>
      <c r="E14" s="348"/>
      <c r="F14" s="347"/>
      <c r="G14" s="347">
        <v>13771891</v>
      </c>
      <c r="H14" s="349">
        <v>36090</v>
      </c>
      <c r="I14" s="350">
        <f>H14+35</f>
        <v>36125</v>
      </c>
      <c r="J14" s="351">
        <v>13771891</v>
      </c>
      <c r="K14" s="350">
        <f>SUM(H14+180)</f>
        <v>36270</v>
      </c>
      <c r="L14" s="352">
        <v>3321891</v>
      </c>
    </row>
    <row r="15" spans="1:17" s="231" customFormat="1">
      <c r="D15" s="239"/>
      <c r="E15" s="240"/>
      <c r="F15" s="239"/>
      <c r="G15" s="239"/>
      <c r="H15" s="158"/>
      <c r="I15" s="241"/>
      <c r="J15" s="242"/>
      <c r="K15" s="241" t="s">
        <v>744</v>
      </c>
      <c r="L15" s="312">
        <f>SUM(L2+J5-L5+J6-L6+J8-L8)</f>
        <v>52750000</v>
      </c>
    </row>
    <row r="16" spans="1:17" s="274" customFormat="1"/>
    <row r="17" spans="1:14">
      <c r="A17" s="130" t="s">
        <v>731</v>
      </c>
      <c r="L17" t="s">
        <v>668</v>
      </c>
      <c r="M17" t="s">
        <v>637</v>
      </c>
    </row>
    <row r="18" spans="1:14" s="315" customFormat="1">
      <c r="A18" s="314" t="s">
        <v>670</v>
      </c>
      <c r="B18" s="315" t="s">
        <v>633</v>
      </c>
      <c r="C18" s="316" t="s">
        <v>156</v>
      </c>
      <c r="D18" s="316" t="s">
        <v>360</v>
      </c>
      <c r="E18" s="316" t="s">
        <v>361</v>
      </c>
      <c r="F18" s="317">
        <v>13400000</v>
      </c>
      <c r="G18" s="363">
        <v>13400000</v>
      </c>
      <c r="H18" s="318">
        <v>36175</v>
      </c>
      <c r="I18" s="318">
        <f>H18+35</f>
        <v>36210</v>
      </c>
      <c r="J18" s="319">
        <v>13400000</v>
      </c>
      <c r="K18" s="318">
        <f>H18+120</f>
        <v>36295</v>
      </c>
      <c r="L18" s="319">
        <v>13400000</v>
      </c>
      <c r="M18" s="319">
        <v>0</v>
      </c>
      <c r="N18" s="320">
        <v>36293</v>
      </c>
    </row>
    <row r="19" spans="1:14" s="315" customFormat="1">
      <c r="A19" s="316" t="s">
        <v>671</v>
      </c>
      <c r="B19" s="315" t="s">
        <v>633</v>
      </c>
      <c r="C19" s="316" t="s">
        <v>156</v>
      </c>
      <c r="D19" s="316" t="s">
        <v>362</v>
      </c>
      <c r="E19" s="316" t="s">
        <v>363</v>
      </c>
      <c r="F19" s="317">
        <v>15000000</v>
      </c>
      <c r="G19" s="363">
        <v>15000000</v>
      </c>
      <c r="H19" s="318">
        <v>36183</v>
      </c>
      <c r="I19" s="318">
        <f>H19+35</f>
        <v>36218</v>
      </c>
      <c r="J19" s="319">
        <v>15000000</v>
      </c>
      <c r="K19" s="318">
        <f>H19+120</f>
        <v>36303</v>
      </c>
      <c r="L19" s="319">
        <v>15000000</v>
      </c>
      <c r="M19" s="319">
        <v>0</v>
      </c>
      <c r="N19" s="320">
        <v>36307</v>
      </c>
    </row>
    <row r="20" spans="1:14" s="315" customFormat="1">
      <c r="A20" s="316" t="s">
        <v>672</v>
      </c>
      <c r="B20" s="315" t="s">
        <v>633</v>
      </c>
      <c r="C20" s="316" t="s">
        <v>156</v>
      </c>
      <c r="D20" s="316" t="s">
        <v>372</v>
      </c>
      <c r="E20" s="316" t="s">
        <v>361</v>
      </c>
      <c r="F20" s="317">
        <v>11100000</v>
      </c>
      <c r="G20" s="363">
        <v>11100000</v>
      </c>
      <c r="H20" s="318">
        <v>36167</v>
      </c>
      <c r="I20" s="320">
        <f>H20+35</f>
        <v>36202</v>
      </c>
      <c r="J20" s="319">
        <v>11100000</v>
      </c>
      <c r="K20" s="320">
        <f>H20+120</f>
        <v>36287</v>
      </c>
      <c r="L20" s="319">
        <v>9450000</v>
      </c>
      <c r="M20" s="321">
        <f>J20-L20</f>
        <v>1650000</v>
      </c>
      <c r="N20" s="320">
        <v>36281</v>
      </c>
    </row>
    <row r="21" spans="1:14" s="315" customFormat="1">
      <c r="A21" s="316" t="s">
        <v>687</v>
      </c>
      <c r="B21" s="315" t="s">
        <v>633</v>
      </c>
      <c r="C21" s="316" t="s">
        <v>156</v>
      </c>
      <c r="D21" s="316" t="s">
        <v>378</v>
      </c>
      <c r="E21" s="316" t="s">
        <v>379</v>
      </c>
      <c r="F21" s="317">
        <v>10900000</v>
      </c>
      <c r="G21" s="363">
        <v>10900000</v>
      </c>
      <c r="H21" s="318">
        <v>36249</v>
      </c>
      <c r="I21" s="320">
        <f>H21+35</f>
        <v>36284</v>
      </c>
      <c r="J21" s="319">
        <v>10900000</v>
      </c>
      <c r="K21" s="320">
        <f>H21+120</f>
        <v>36369</v>
      </c>
      <c r="L21" s="319">
        <v>10900000</v>
      </c>
      <c r="M21" s="319">
        <v>0</v>
      </c>
      <c r="N21" s="320">
        <v>36370</v>
      </c>
    </row>
    <row r="22" spans="1:14" s="315" customFormat="1">
      <c r="A22" s="316" t="s">
        <v>698</v>
      </c>
      <c r="B22" s="315" t="s">
        <v>633</v>
      </c>
      <c r="C22" s="316" t="s">
        <v>156</v>
      </c>
      <c r="D22" s="316" t="s">
        <v>696</v>
      </c>
      <c r="E22" s="316" t="s">
        <v>365</v>
      </c>
      <c r="F22" s="317">
        <v>15000000</v>
      </c>
      <c r="G22" s="363">
        <v>15000000</v>
      </c>
      <c r="H22" s="318">
        <v>36281</v>
      </c>
      <c r="I22" s="318">
        <f>H22+35</f>
        <v>36316</v>
      </c>
      <c r="J22" s="319">
        <v>15000000</v>
      </c>
      <c r="K22" s="318">
        <f>H22+120</f>
        <v>36401</v>
      </c>
      <c r="L22" s="319">
        <v>7050000</v>
      </c>
      <c r="M22" s="319">
        <v>0</v>
      </c>
      <c r="N22" s="320">
        <v>36400</v>
      </c>
    </row>
    <row r="23" spans="1:14" s="1" customFormat="1">
      <c r="A23" s="142"/>
      <c r="C23" s="152"/>
      <c r="D23" s="152" t="s">
        <v>697</v>
      </c>
      <c r="E23" s="152"/>
      <c r="F23" s="153"/>
      <c r="G23" s="364"/>
      <c r="H23" s="124"/>
      <c r="I23" s="3"/>
      <c r="J23" s="136"/>
      <c r="K23" s="3"/>
      <c r="L23" s="313">
        <f>SUM(L18:L22)</f>
        <v>55800000</v>
      </c>
      <c r="M23" s="166"/>
      <c r="N23" s="3"/>
    </row>
    <row r="24" spans="1:14" s="1" customFormat="1">
      <c r="A24" s="142"/>
      <c r="C24" s="152"/>
      <c r="D24" s="152"/>
      <c r="E24" s="152"/>
      <c r="F24" s="153"/>
      <c r="G24" s="364"/>
      <c r="H24" s="124"/>
      <c r="I24" s="3"/>
      <c r="J24" s="136"/>
      <c r="K24" s="3"/>
      <c r="L24" s="260"/>
      <c r="M24" s="166"/>
      <c r="N24" s="3"/>
    </row>
    <row r="25" spans="1:14" s="1" customFormat="1">
      <c r="A25" s="142"/>
      <c r="C25" s="152"/>
      <c r="D25" s="152"/>
      <c r="E25" s="152"/>
      <c r="F25" s="153"/>
      <c r="G25" s="364"/>
      <c r="H25" s="124"/>
      <c r="I25" s="3"/>
      <c r="J25" s="136"/>
      <c r="K25" s="3"/>
      <c r="L25" s="56"/>
      <c r="M25" s="166"/>
      <c r="N25" s="3"/>
    </row>
    <row r="26" spans="1:14" s="354" customFormat="1">
      <c r="A26" s="353" t="s">
        <v>690</v>
      </c>
      <c r="B26" s="354" t="s">
        <v>633</v>
      </c>
      <c r="C26" s="355" t="s">
        <v>64</v>
      </c>
      <c r="D26" s="355" t="s">
        <v>587</v>
      </c>
      <c r="E26" s="355" t="s">
        <v>450</v>
      </c>
      <c r="F26" s="356">
        <v>15000000</v>
      </c>
      <c r="G26" s="365">
        <v>15000000</v>
      </c>
      <c r="H26" s="357">
        <v>36182</v>
      </c>
      <c r="I26" s="358">
        <f>H26+35</f>
        <v>36217</v>
      </c>
      <c r="J26" s="359">
        <v>15000000</v>
      </c>
      <c r="K26" s="358">
        <f>H26+120</f>
        <v>36302</v>
      </c>
      <c r="L26" s="369">
        <v>14750000</v>
      </c>
      <c r="M26" s="359">
        <f>J26-L26</f>
        <v>250000</v>
      </c>
      <c r="N26" s="358">
        <v>36312</v>
      </c>
    </row>
    <row r="27" spans="1:14" s="315" customFormat="1">
      <c r="A27" s="316" t="s">
        <v>691</v>
      </c>
      <c r="B27" s="315" t="s">
        <v>633</v>
      </c>
      <c r="C27" s="316" t="s">
        <v>64</v>
      </c>
      <c r="D27" s="316" t="s">
        <v>588</v>
      </c>
      <c r="E27" s="316" t="s">
        <v>450</v>
      </c>
      <c r="F27" s="317">
        <v>12000000</v>
      </c>
      <c r="G27" s="363">
        <v>12000000</v>
      </c>
      <c r="H27" s="360">
        <v>36253</v>
      </c>
      <c r="I27" s="361">
        <f>H27+35</f>
        <v>36288</v>
      </c>
      <c r="J27" s="322">
        <v>12000000</v>
      </c>
      <c r="K27" s="361">
        <f>H27+120</f>
        <v>36373</v>
      </c>
      <c r="L27" s="319">
        <v>250000</v>
      </c>
      <c r="M27" s="323">
        <f>J27-L27</f>
        <v>11750000</v>
      </c>
      <c r="N27" s="320">
        <v>36377</v>
      </c>
    </row>
    <row r="28" spans="1:14" s="1" customFormat="1">
      <c r="A28" s="142"/>
      <c r="C28" s="152"/>
      <c r="D28" s="152"/>
      <c r="E28" s="152"/>
      <c r="F28" s="153"/>
      <c r="G28" s="30"/>
      <c r="H28" s="124"/>
      <c r="I28" s="3"/>
      <c r="J28" s="136"/>
      <c r="K28" s="3"/>
      <c r="L28" s="313">
        <f>SUM(L26:L27)</f>
        <v>15000000</v>
      </c>
      <c r="M28" s="166"/>
      <c r="N28" s="3"/>
    </row>
    <row r="30" spans="1:14">
      <c r="J30" s="178"/>
    </row>
    <row r="32" spans="1:14">
      <c r="A32" t="s">
        <v>732</v>
      </c>
    </row>
    <row r="33" spans="1:12">
      <c r="A33" s="130" t="s">
        <v>734</v>
      </c>
      <c r="B33" s="130" t="s">
        <v>668</v>
      </c>
      <c r="C33" s="130" t="s">
        <v>733</v>
      </c>
      <c r="D33" s="130" t="s">
        <v>735</v>
      </c>
      <c r="E33" s="130"/>
      <c r="F33" s="275">
        <v>22108337.550000001</v>
      </c>
      <c r="G33" s="125">
        <v>36243</v>
      </c>
    </row>
    <row r="34" spans="1:12">
      <c r="I34" t="s">
        <v>736</v>
      </c>
      <c r="J34" s="56">
        <v>1633491975</v>
      </c>
    </row>
    <row r="35" spans="1:12" ht="12.75" thickBot="1">
      <c r="I35" t="s">
        <v>737</v>
      </c>
      <c r="J35" s="56">
        <f>SUM(J3:J14)+F33</f>
        <v>179894518.55000001</v>
      </c>
      <c r="L35" s="362">
        <f>L15+L23+L28</f>
        <v>123550000</v>
      </c>
    </row>
    <row r="36" spans="1:12" ht="13.5" thickTop="1" thickBot="1">
      <c r="C36" s="245"/>
      <c r="I36" t="s">
        <v>178</v>
      </c>
      <c r="J36" s="280">
        <f>SUM(J34:J35)</f>
        <v>1813386493.55</v>
      </c>
      <c r="L36" s="283"/>
    </row>
    <row r="37" spans="1:12" ht="12.75" thickTop="1"/>
    <row r="39" spans="1:12">
      <c r="I39" s="245"/>
    </row>
    <row r="40" spans="1:12">
      <c r="D40" s="245">
        <f>L3+L5+L7+L8+L9+L10</f>
        <v>55800000</v>
      </c>
    </row>
  </sheetData>
  <phoneticPr fontId="8" type="noConversion"/>
  <pageMargins left="0.75" right="0.75" top="1" bottom="1" header="0.5" footer="0.5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10" sqref="A10:IV10"/>
    </sheetView>
  </sheetViews>
  <sheetFormatPr defaultRowHeight="12"/>
  <cols>
    <col min="2" max="2" width="14.140625" bestFit="1" customWidth="1"/>
    <col min="3" max="3" width="16.85546875" bestFit="1" customWidth="1"/>
    <col min="4" max="4" width="13.42578125" bestFit="1" customWidth="1"/>
    <col min="5" max="5" width="9.85546875" bestFit="1" customWidth="1"/>
    <col min="6" max="6" width="13.42578125" bestFit="1" customWidth="1"/>
    <col min="7" max="7" width="15.28515625" bestFit="1" customWidth="1"/>
    <col min="8" max="8" width="14.5703125" bestFit="1" customWidth="1"/>
    <col min="9" max="9" width="14.42578125" bestFit="1" customWidth="1"/>
    <col min="10" max="10" width="15.28515625" style="304" bestFit="1" customWidth="1"/>
    <col min="11" max="11" width="10" bestFit="1" customWidth="1"/>
    <col min="12" max="13" width="15.28515625" bestFit="1" customWidth="1"/>
    <col min="14" max="14" width="10" bestFit="1" customWidth="1"/>
  </cols>
  <sheetData>
    <row r="1" spans="1:14">
      <c r="E1" t="s">
        <v>657</v>
      </c>
      <c r="F1" t="s">
        <v>723</v>
      </c>
      <c r="G1" t="s">
        <v>724</v>
      </c>
      <c r="H1" t="s">
        <v>726</v>
      </c>
      <c r="I1" t="s">
        <v>637</v>
      </c>
    </row>
    <row r="2" spans="1:14">
      <c r="A2" t="s">
        <v>717</v>
      </c>
      <c r="B2" t="s">
        <v>719</v>
      </c>
      <c r="C2" t="s">
        <v>720</v>
      </c>
      <c r="D2" s="149">
        <v>50000000</v>
      </c>
      <c r="E2" s="125">
        <v>36524</v>
      </c>
      <c r="F2" s="125">
        <f>E2+35</f>
        <v>36559</v>
      </c>
      <c r="G2" s="125">
        <f>E2+1095</f>
        <v>37619</v>
      </c>
    </row>
    <row r="3" spans="1:14">
      <c r="A3" t="s">
        <v>718</v>
      </c>
      <c r="B3" t="s">
        <v>324</v>
      </c>
      <c r="C3" t="s">
        <v>716</v>
      </c>
      <c r="D3" s="149">
        <v>3000000</v>
      </c>
      <c r="E3" s="125">
        <v>36524</v>
      </c>
      <c r="F3" s="125">
        <f>E3+35</f>
        <v>36559</v>
      </c>
      <c r="G3" s="125">
        <f>E3+1095</f>
        <v>37619</v>
      </c>
    </row>
    <row r="4" spans="1:14">
      <c r="A4" t="s">
        <v>721</v>
      </c>
      <c r="B4" t="s">
        <v>109</v>
      </c>
      <c r="C4" t="s">
        <v>722</v>
      </c>
      <c r="D4" s="270">
        <v>37617849.549999997</v>
      </c>
      <c r="E4" s="125">
        <v>36524</v>
      </c>
      <c r="F4" s="125">
        <f>E4+35</f>
        <v>36559</v>
      </c>
      <c r="G4" s="125">
        <f>E4+1095</f>
        <v>37619</v>
      </c>
      <c r="H4" s="149">
        <v>37600000</v>
      </c>
      <c r="I4" s="271">
        <f>D4-H4</f>
        <v>17849.54999999702</v>
      </c>
    </row>
    <row r="5" spans="1:14">
      <c r="D5" s="303">
        <f>SUM(D2:D4)</f>
        <v>90617849.549999997</v>
      </c>
    </row>
    <row r="7" spans="1:14">
      <c r="M7" t="s">
        <v>637</v>
      </c>
    </row>
    <row r="8" spans="1:14" s="12" customFormat="1">
      <c r="A8" s="130">
        <v>2793</v>
      </c>
      <c r="B8" s="12" t="s">
        <v>621</v>
      </c>
      <c r="C8" s="130" t="s">
        <v>156</v>
      </c>
      <c r="D8" s="130" t="s">
        <v>453</v>
      </c>
      <c r="E8" s="130" t="s">
        <v>361</v>
      </c>
      <c r="F8" s="131">
        <v>15000000</v>
      </c>
      <c r="G8" s="375">
        <v>15000000</v>
      </c>
      <c r="H8" s="212">
        <v>36481</v>
      </c>
      <c r="I8" s="4">
        <f t="shared" ref="I8:I19" si="0">H8+35</f>
        <v>36516</v>
      </c>
      <c r="J8" s="175">
        <v>15000000</v>
      </c>
      <c r="K8" s="4">
        <f t="shared" ref="K8:K19" si="1">H8+120</f>
        <v>36601</v>
      </c>
      <c r="L8" s="368"/>
      <c r="M8" s="175">
        <v>15000000</v>
      </c>
    </row>
    <row r="9" spans="1:14" s="12" customFormat="1">
      <c r="A9" s="130">
        <v>2776</v>
      </c>
      <c r="B9" s="12" t="s">
        <v>621</v>
      </c>
      <c r="C9" s="130" t="s">
        <v>156</v>
      </c>
      <c r="D9" s="130" t="s">
        <v>413</v>
      </c>
      <c r="E9" s="130" t="s">
        <v>414</v>
      </c>
      <c r="F9" s="131">
        <v>13300000</v>
      </c>
      <c r="G9" s="375">
        <v>13300000</v>
      </c>
      <c r="H9" s="212">
        <v>36419</v>
      </c>
      <c r="I9" s="212">
        <f t="shared" si="0"/>
        <v>36454</v>
      </c>
      <c r="J9" s="175">
        <v>13300000</v>
      </c>
      <c r="K9" s="212">
        <f t="shared" si="1"/>
        <v>36539</v>
      </c>
      <c r="L9" s="368"/>
      <c r="M9" s="175">
        <v>13300000</v>
      </c>
    </row>
    <row r="10" spans="1:14" s="12" customFormat="1">
      <c r="A10" s="130">
        <v>2771</v>
      </c>
      <c r="B10" s="12" t="s">
        <v>627</v>
      </c>
      <c r="C10" s="130" t="s">
        <v>64</v>
      </c>
      <c r="D10" s="130" t="s">
        <v>589</v>
      </c>
      <c r="E10" s="130" t="s">
        <v>590</v>
      </c>
      <c r="F10" s="131">
        <v>7500000</v>
      </c>
      <c r="G10" s="376">
        <v>7500000</v>
      </c>
      <c r="H10" s="159">
        <v>36407</v>
      </c>
      <c r="I10" s="24">
        <f t="shared" si="0"/>
        <v>36442</v>
      </c>
      <c r="J10" s="175">
        <v>7500000</v>
      </c>
      <c r="K10" s="24">
        <f t="shared" si="1"/>
        <v>36527</v>
      </c>
      <c r="L10" s="368">
        <v>0</v>
      </c>
      <c r="M10" s="175">
        <v>7500000</v>
      </c>
      <c r="N10" s="4">
        <v>36532</v>
      </c>
    </row>
    <row r="11" spans="1:14" s="12" customFormat="1">
      <c r="A11" s="130">
        <v>2775</v>
      </c>
      <c r="B11" s="12" t="s">
        <v>633</v>
      </c>
      <c r="C11" s="130" t="s">
        <v>156</v>
      </c>
      <c r="D11" s="130" t="s">
        <v>412</v>
      </c>
      <c r="E11" s="130" t="s">
        <v>353</v>
      </c>
      <c r="F11" s="131">
        <v>15000000</v>
      </c>
      <c r="G11" s="375">
        <v>15000000</v>
      </c>
      <c r="H11" s="212">
        <v>36418</v>
      </c>
      <c r="I11" s="212">
        <f t="shared" si="0"/>
        <v>36453</v>
      </c>
      <c r="J11" s="175">
        <v>15000000</v>
      </c>
      <c r="K11" s="212">
        <f t="shared" si="1"/>
        <v>36538</v>
      </c>
      <c r="L11" s="368">
        <v>13000000</v>
      </c>
      <c r="M11" s="175">
        <f>J11-L11</f>
        <v>2000000</v>
      </c>
      <c r="N11" s="4">
        <v>36540</v>
      </c>
    </row>
    <row r="12" spans="1:14" s="12" customFormat="1">
      <c r="A12" s="130">
        <v>2777</v>
      </c>
      <c r="B12" s="12" t="s">
        <v>633</v>
      </c>
      <c r="C12" s="130" t="s">
        <v>156</v>
      </c>
      <c r="D12" s="130" t="s">
        <v>415</v>
      </c>
      <c r="E12" s="130" t="s">
        <v>394</v>
      </c>
      <c r="F12" s="131">
        <v>15000000</v>
      </c>
      <c r="G12" s="375">
        <v>15000000</v>
      </c>
      <c r="H12" s="212">
        <v>36425</v>
      </c>
      <c r="I12" s="212">
        <f t="shared" si="0"/>
        <v>36460</v>
      </c>
      <c r="J12" s="175">
        <v>15000000</v>
      </c>
      <c r="K12" s="212">
        <f t="shared" si="1"/>
        <v>36545</v>
      </c>
      <c r="L12" s="368">
        <v>14000000</v>
      </c>
      <c r="M12" s="175">
        <v>1000000</v>
      </c>
      <c r="N12" s="4">
        <v>36546</v>
      </c>
    </row>
    <row r="13" spans="1:14" s="12" customFormat="1">
      <c r="A13" s="130">
        <v>2778</v>
      </c>
      <c r="B13" s="12" t="s">
        <v>633</v>
      </c>
      <c r="C13" s="130" t="s">
        <v>156</v>
      </c>
      <c r="D13" s="130" t="s">
        <v>725</v>
      </c>
      <c r="E13" s="130" t="s">
        <v>381</v>
      </c>
      <c r="F13" s="131">
        <v>15000000</v>
      </c>
      <c r="G13" s="375">
        <v>15000000</v>
      </c>
      <c r="H13" s="212">
        <v>36431</v>
      </c>
      <c r="I13" s="4">
        <f t="shared" si="0"/>
        <v>36466</v>
      </c>
      <c r="J13" s="175">
        <v>15000000</v>
      </c>
      <c r="K13" s="4">
        <f t="shared" si="1"/>
        <v>36551</v>
      </c>
      <c r="L13" s="368">
        <v>15000000</v>
      </c>
      <c r="M13" s="175">
        <v>0</v>
      </c>
      <c r="N13" s="4">
        <v>36553</v>
      </c>
    </row>
    <row r="14" spans="1:14" s="12" customFormat="1">
      <c r="A14" s="130">
        <v>2779</v>
      </c>
      <c r="B14" s="12" t="s">
        <v>633</v>
      </c>
      <c r="C14" s="130" t="s">
        <v>156</v>
      </c>
      <c r="D14" s="130" t="s">
        <v>707</v>
      </c>
      <c r="E14" s="130" t="s">
        <v>394</v>
      </c>
      <c r="F14" s="131">
        <v>10000000</v>
      </c>
      <c r="G14" s="375">
        <v>10000000</v>
      </c>
      <c r="H14" s="212">
        <v>36438</v>
      </c>
      <c r="I14" s="4">
        <f t="shared" si="0"/>
        <v>36473</v>
      </c>
      <c r="J14" s="175">
        <v>10000000</v>
      </c>
      <c r="K14" s="4">
        <f t="shared" si="1"/>
        <v>36558</v>
      </c>
      <c r="L14" s="368">
        <v>10000000</v>
      </c>
      <c r="M14" s="175">
        <v>0</v>
      </c>
      <c r="N14" s="4">
        <v>36560</v>
      </c>
    </row>
    <row r="15" spans="1:14" s="12" customFormat="1">
      <c r="A15" s="130">
        <v>2780</v>
      </c>
      <c r="B15" s="12" t="s">
        <v>633</v>
      </c>
      <c r="C15" s="130" t="s">
        <v>78</v>
      </c>
      <c r="D15" s="130" t="s">
        <v>513</v>
      </c>
      <c r="E15" s="130" t="s">
        <v>367</v>
      </c>
      <c r="F15" s="131">
        <v>11000000</v>
      </c>
      <c r="G15" s="377">
        <v>11000000</v>
      </c>
      <c r="H15" s="4">
        <v>36438</v>
      </c>
      <c r="I15" s="159">
        <f t="shared" si="0"/>
        <v>36473</v>
      </c>
      <c r="J15" s="305">
        <v>11000000</v>
      </c>
      <c r="K15" s="4">
        <f t="shared" si="1"/>
        <v>36558</v>
      </c>
      <c r="L15" s="368">
        <v>11000000</v>
      </c>
      <c r="M15" s="175">
        <v>0</v>
      </c>
      <c r="N15" s="4">
        <v>36564</v>
      </c>
    </row>
    <row r="16" spans="1:14" s="12" customFormat="1">
      <c r="A16" s="130">
        <v>2781</v>
      </c>
      <c r="B16" s="12" t="s">
        <v>633</v>
      </c>
      <c r="C16" s="130" t="s">
        <v>156</v>
      </c>
      <c r="D16" s="130" t="s">
        <v>424</v>
      </c>
      <c r="E16" s="130" t="s">
        <v>708</v>
      </c>
      <c r="F16" s="131">
        <v>15000000</v>
      </c>
      <c r="G16" s="375">
        <v>15000000</v>
      </c>
      <c r="H16" s="212">
        <v>36440</v>
      </c>
      <c r="I16" s="4">
        <f t="shared" si="0"/>
        <v>36475</v>
      </c>
      <c r="J16" s="175">
        <v>15000000</v>
      </c>
      <c r="K16" s="4">
        <f t="shared" si="1"/>
        <v>36560</v>
      </c>
      <c r="L16" s="368">
        <v>11700000</v>
      </c>
      <c r="M16" s="175">
        <f>J16-L16</f>
        <v>3300000</v>
      </c>
      <c r="N16" s="4">
        <v>36564</v>
      </c>
    </row>
    <row r="17" spans="1:14" s="20" customFormat="1">
      <c r="A17" s="130">
        <v>2782</v>
      </c>
      <c r="B17" s="12" t="s">
        <v>633</v>
      </c>
      <c r="C17" s="130" t="s">
        <v>265</v>
      </c>
      <c r="D17" s="130" t="s">
        <v>581</v>
      </c>
      <c r="E17" s="130" t="s">
        <v>232</v>
      </c>
      <c r="F17" s="131">
        <v>13500000</v>
      </c>
      <c r="G17" s="375">
        <v>13500000</v>
      </c>
      <c r="H17" s="4">
        <v>36441</v>
      </c>
      <c r="I17" s="4">
        <f t="shared" si="0"/>
        <v>36476</v>
      </c>
      <c r="J17" s="175">
        <v>13500000</v>
      </c>
      <c r="K17" s="4">
        <f t="shared" si="1"/>
        <v>36561</v>
      </c>
      <c r="L17" s="368">
        <v>13350000</v>
      </c>
      <c r="M17" s="175">
        <f>J17-L17</f>
        <v>150000</v>
      </c>
      <c r="N17" s="4">
        <v>36561</v>
      </c>
    </row>
    <row r="18" spans="1:14" s="12" customFormat="1">
      <c r="A18" s="130">
        <v>2786</v>
      </c>
      <c r="B18" s="12" t="s">
        <v>621</v>
      </c>
      <c r="C18" s="130" t="s">
        <v>250</v>
      </c>
      <c r="D18" s="130" t="s">
        <v>604</v>
      </c>
      <c r="E18" s="130" t="s">
        <v>605</v>
      </c>
      <c r="F18" s="131">
        <v>15000000</v>
      </c>
      <c r="G18" s="376">
        <v>15000000</v>
      </c>
      <c r="H18" s="159">
        <v>36455</v>
      </c>
      <c r="I18" s="4">
        <f t="shared" si="0"/>
        <v>36490</v>
      </c>
      <c r="J18" s="175">
        <v>15000000</v>
      </c>
      <c r="K18" s="4">
        <f t="shared" si="1"/>
        <v>36575</v>
      </c>
      <c r="L18" s="368">
        <v>0</v>
      </c>
      <c r="M18" s="175">
        <v>15000000</v>
      </c>
      <c r="N18" s="4">
        <v>36572</v>
      </c>
    </row>
    <row r="19" spans="1:14" s="12" customFormat="1">
      <c r="A19" s="130">
        <v>2788</v>
      </c>
      <c r="B19" s="12" t="s">
        <v>621</v>
      </c>
      <c r="C19" s="130" t="s">
        <v>38</v>
      </c>
      <c r="D19" s="130" t="s">
        <v>601</v>
      </c>
      <c r="E19" s="130" t="s">
        <v>353</v>
      </c>
      <c r="F19" s="131">
        <v>15000000</v>
      </c>
      <c r="G19" s="376">
        <v>15000000</v>
      </c>
      <c r="H19" s="159">
        <v>36455</v>
      </c>
      <c r="I19" s="4">
        <f t="shared" si="0"/>
        <v>36490</v>
      </c>
      <c r="J19" s="175">
        <v>15000000</v>
      </c>
      <c r="K19" s="4">
        <f t="shared" si="1"/>
        <v>36575</v>
      </c>
      <c r="L19" s="368">
        <v>0</v>
      </c>
      <c r="M19" s="175">
        <v>15000000</v>
      </c>
      <c r="N19" s="4">
        <v>36572</v>
      </c>
    </row>
    <row r="20" spans="1:14" s="12" customFormat="1">
      <c r="A20" s="130">
        <v>2785</v>
      </c>
      <c r="B20" s="12" t="s">
        <v>621</v>
      </c>
      <c r="C20" s="130" t="s">
        <v>156</v>
      </c>
      <c r="D20" s="130" t="s">
        <v>437</v>
      </c>
      <c r="E20" s="130" t="s">
        <v>381</v>
      </c>
      <c r="F20" s="131">
        <v>13700000</v>
      </c>
      <c r="G20" s="375">
        <v>13700000</v>
      </c>
      <c r="H20" s="212">
        <v>36455</v>
      </c>
      <c r="I20" s="4">
        <f>H20+35</f>
        <v>36490</v>
      </c>
      <c r="J20" s="175">
        <v>13700000</v>
      </c>
      <c r="K20" s="4">
        <f>H20+120</f>
        <v>36575</v>
      </c>
      <c r="L20" s="368">
        <v>0</v>
      </c>
      <c r="M20" s="175">
        <v>13700000</v>
      </c>
      <c r="N20" s="4">
        <v>36574</v>
      </c>
    </row>
    <row r="21" spans="1:14" s="12" customFormat="1">
      <c r="A21" s="130">
        <v>2790</v>
      </c>
      <c r="B21" s="12" t="s">
        <v>621</v>
      </c>
      <c r="C21" s="130" t="s">
        <v>156</v>
      </c>
      <c r="D21" s="130" t="s">
        <v>714</v>
      </c>
      <c r="E21" s="130" t="s">
        <v>712</v>
      </c>
      <c r="F21" s="131">
        <v>15000000</v>
      </c>
      <c r="G21" s="375">
        <v>15000000</v>
      </c>
      <c r="H21" s="212">
        <v>36469</v>
      </c>
      <c r="I21" s="4">
        <f>H21+35</f>
        <v>36504</v>
      </c>
      <c r="J21" s="175">
        <v>15000000</v>
      </c>
      <c r="K21" s="4">
        <f>H21+120</f>
        <v>36589</v>
      </c>
      <c r="L21" s="368"/>
      <c r="M21" s="175">
        <v>15000000</v>
      </c>
      <c r="N21" s="4">
        <v>36587</v>
      </c>
    </row>
    <row r="22" spans="1:14" s="12" customFormat="1">
      <c r="A22" s="130">
        <v>2789</v>
      </c>
      <c r="B22" s="12" t="s">
        <v>627</v>
      </c>
      <c r="C22" s="130" t="s">
        <v>250</v>
      </c>
      <c r="D22" s="130" t="s">
        <v>602</v>
      </c>
      <c r="E22" s="130" t="s">
        <v>603</v>
      </c>
      <c r="F22" s="131">
        <v>15000000</v>
      </c>
      <c r="G22" s="376">
        <v>15000000</v>
      </c>
      <c r="H22" s="159">
        <v>36463</v>
      </c>
      <c r="I22" s="4">
        <f>H22+35</f>
        <v>36498</v>
      </c>
      <c r="J22" s="175">
        <v>15000000</v>
      </c>
      <c r="K22" s="4">
        <f>H22+120</f>
        <v>36583</v>
      </c>
      <c r="L22" s="368">
        <v>0</v>
      </c>
      <c r="M22" s="175">
        <v>15000000</v>
      </c>
      <c r="N22" s="4">
        <v>36595</v>
      </c>
    </row>
    <row r="23" spans="1:14" s="20" customFormat="1">
      <c r="A23" s="130">
        <v>2794</v>
      </c>
      <c r="B23" s="12" t="s">
        <v>621</v>
      </c>
      <c r="C23" s="130" t="s">
        <v>265</v>
      </c>
      <c r="D23" s="130" t="s">
        <v>584</v>
      </c>
      <c r="E23" s="130" t="s">
        <v>381</v>
      </c>
      <c r="F23" s="131">
        <v>11000000</v>
      </c>
      <c r="G23" s="375">
        <v>11000000</v>
      </c>
      <c r="H23" s="4">
        <v>36494</v>
      </c>
      <c r="I23" s="4">
        <f>H23+35</f>
        <v>36529</v>
      </c>
      <c r="J23" s="175">
        <v>11000000</v>
      </c>
      <c r="K23" s="4">
        <f>H23+120</f>
        <v>36614</v>
      </c>
      <c r="L23" s="368">
        <v>0</v>
      </c>
      <c r="M23" s="175">
        <v>11000000</v>
      </c>
      <c r="N23" s="4">
        <v>36595</v>
      </c>
    </row>
    <row r="24" spans="1:14" s="20" customFormat="1">
      <c r="A24" s="130">
        <v>2792</v>
      </c>
      <c r="B24" s="12" t="s">
        <v>633</v>
      </c>
      <c r="C24" s="130" t="s">
        <v>36</v>
      </c>
      <c r="D24" s="130" t="s">
        <v>583</v>
      </c>
      <c r="E24" s="130" t="s">
        <v>381</v>
      </c>
      <c r="F24" s="131">
        <v>11500000</v>
      </c>
      <c r="G24" s="375">
        <v>11500000</v>
      </c>
      <c r="H24" s="4">
        <v>36481</v>
      </c>
      <c r="I24" s="4">
        <f>H24+35</f>
        <v>36516</v>
      </c>
      <c r="J24" s="175">
        <v>11500000</v>
      </c>
      <c r="K24" s="4">
        <f>H24+120</f>
        <v>36601</v>
      </c>
      <c r="L24" s="368">
        <v>9500000</v>
      </c>
      <c r="M24" s="175">
        <v>2000000</v>
      </c>
      <c r="N24" s="4">
        <v>36603</v>
      </c>
    </row>
    <row r="25" spans="1:14" s="20" customFormat="1">
      <c r="A25" s="130"/>
      <c r="B25" s="12"/>
      <c r="C25" s="130"/>
      <c r="D25" s="130"/>
      <c r="E25" s="130"/>
      <c r="F25" s="131"/>
      <c r="G25" s="69"/>
      <c r="H25" s="4"/>
      <c r="I25" s="4"/>
      <c r="K25" s="4"/>
      <c r="L25" s="137"/>
      <c r="M25" s="175"/>
      <c r="N25" s="4"/>
    </row>
    <row r="26" spans="1:14" s="20" customFormat="1">
      <c r="A26" s="130"/>
      <c r="B26" s="12"/>
      <c r="C26" s="130"/>
      <c r="D26" s="130"/>
      <c r="E26" s="130"/>
      <c r="F26" s="131"/>
      <c r="G26" s="69"/>
      <c r="H26" s="4"/>
      <c r="I26" s="4"/>
      <c r="J26" s="310">
        <f>SUM(J8:J24)</f>
        <v>226500000</v>
      </c>
      <c r="K26" s="4"/>
      <c r="L26" s="310">
        <f>SUM(L8:L24)</f>
        <v>97550000</v>
      </c>
      <c r="M26" s="175"/>
      <c r="N26" s="4"/>
    </row>
    <row r="27" spans="1:14" s="26" customFormat="1" ht="10.5">
      <c r="A27" s="272">
        <v>2793</v>
      </c>
      <c r="B27" s="12" t="s">
        <v>633</v>
      </c>
      <c r="C27" s="20" t="s">
        <v>196</v>
      </c>
      <c r="F27" s="31">
        <v>35000000</v>
      </c>
      <c r="G27" s="31">
        <v>35000000</v>
      </c>
      <c r="H27" s="4">
        <v>36481</v>
      </c>
      <c r="I27" s="4">
        <f>H27+35</f>
        <v>36516</v>
      </c>
      <c r="J27" s="175">
        <v>35000000</v>
      </c>
      <c r="K27" s="4">
        <f>H27+120</f>
        <v>36601</v>
      </c>
      <c r="L27" s="368">
        <v>35000000</v>
      </c>
      <c r="M27" s="175">
        <v>0</v>
      </c>
      <c r="N27" s="4">
        <v>36566</v>
      </c>
    </row>
    <row r="28" spans="1:14" s="142" customFormat="1">
      <c r="A28" t="s">
        <v>632</v>
      </c>
      <c r="B28"/>
      <c r="C28"/>
      <c r="D28"/>
      <c r="E28"/>
      <c r="F28"/>
      <c r="G28" s="155"/>
      <c r="H28" s="144"/>
      <c r="I28" s="157"/>
      <c r="J28" s="307"/>
      <c r="K28" s="157"/>
      <c r="L28" s="146"/>
      <c r="M28" s="236"/>
      <c r="N28" s="144"/>
    </row>
    <row r="29" spans="1:14" s="231" customFormat="1">
      <c r="A29" s="215">
        <v>2631</v>
      </c>
      <c r="B29" s="215" t="s">
        <v>627</v>
      </c>
      <c r="C29" s="215" t="s">
        <v>2</v>
      </c>
      <c r="D29" s="215" t="s">
        <v>634</v>
      </c>
      <c r="E29" s="215"/>
      <c r="F29" s="311">
        <v>15000000</v>
      </c>
      <c r="G29" s="239"/>
      <c r="H29" s="158"/>
      <c r="I29" s="241"/>
      <c r="J29" s="308"/>
      <c r="K29" s="241"/>
      <c r="L29" s="242"/>
    </row>
    <row r="30" spans="1:14">
      <c r="A30" s="142">
        <v>2633</v>
      </c>
      <c r="B30" s="142" t="s">
        <v>627</v>
      </c>
      <c r="C30" s="142" t="s">
        <v>648</v>
      </c>
      <c r="D30" s="239" t="s">
        <v>652</v>
      </c>
      <c r="E30" s="156"/>
      <c r="F30" s="311">
        <v>18014290</v>
      </c>
      <c r="J30" s="306"/>
    </row>
    <row r="31" spans="1:14">
      <c r="A31" s="188">
        <v>2636</v>
      </c>
      <c r="B31" s="231" t="s">
        <v>633</v>
      </c>
      <c r="C31" s="231" t="s">
        <v>651</v>
      </c>
      <c r="D31" s="239" t="s">
        <v>652</v>
      </c>
      <c r="E31" s="240"/>
      <c r="F31" s="311">
        <v>3321891</v>
      </c>
      <c r="J31" s="309">
        <f>J26+D5</f>
        <v>317117849.55000001</v>
      </c>
      <c r="L31" s="309">
        <f>L26+F5</f>
        <v>97550000</v>
      </c>
    </row>
    <row r="32" spans="1:14" s="331" customFormat="1">
      <c r="A32" s="332">
        <v>2634</v>
      </c>
      <c r="B32" s="332" t="s">
        <v>633</v>
      </c>
      <c r="C32" s="333" t="s">
        <v>250</v>
      </c>
      <c r="D32" s="332" t="s">
        <v>639</v>
      </c>
      <c r="E32" s="332" t="s">
        <v>353</v>
      </c>
      <c r="F32" s="334">
        <v>250000</v>
      </c>
      <c r="G32" s="334"/>
      <c r="H32" s="335"/>
      <c r="I32" s="329"/>
      <c r="J32" s="319"/>
      <c r="K32" s="329"/>
      <c r="L32" s="327"/>
      <c r="M32" s="336"/>
      <c r="N32" s="329"/>
    </row>
    <row r="33" spans="6:10">
      <c r="F33" s="303">
        <f>SUM(F29:F32)</f>
        <v>36586181</v>
      </c>
      <c r="J33" s="306"/>
    </row>
    <row r="36" spans="6:10" ht="12.75" thickBot="1">
      <c r="H36" s="284">
        <f>SUM(G11:G27)+G24</f>
        <v>237200000</v>
      </c>
      <c r="I36" s="302">
        <f>F33+J26+D5</f>
        <v>353704030.55000001</v>
      </c>
      <c r="J36" s="306"/>
    </row>
    <row r="37" spans="6:10" ht="12.75" thickTop="1"/>
  </sheetData>
  <phoneticPr fontId="8" type="noConversion"/>
  <pageMargins left="0.75" right="0.75" top="1" bottom="1" header="0.5" footer="0.5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zoomScaleNormal="100" workbookViewId="0">
      <pane xSplit="1" ySplit="11" topLeftCell="D12" activePane="bottomRight" state="frozen"/>
      <selection activeCell="D20" sqref="D20"/>
      <selection pane="topRight" activeCell="D20" sqref="D20"/>
      <selection pane="bottomLeft" activeCell="D20" sqref="D20"/>
      <selection pane="bottomRight" activeCell="H22" sqref="H22"/>
    </sheetView>
  </sheetViews>
  <sheetFormatPr defaultColWidth="11.42578125" defaultRowHeight="12"/>
  <cols>
    <col min="1" max="1" width="11.42578125" customWidth="1"/>
    <col min="2" max="2" width="11.140625" bestFit="1" customWidth="1"/>
    <col min="3" max="3" width="31.28515625" bestFit="1" customWidth="1"/>
    <col min="4" max="4" width="13.42578125" style="122" bestFit="1" customWidth="1"/>
    <col min="5" max="5" width="14.42578125" bestFit="1" customWidth="1"/>
    <col min="6" max="6" width="13.140625" style="122" bestFit="1" customWidth="1"/>
    <col min="7" max="7" width="14.7109375" style="109" bestFit="1" customWidth="1"/>
    <col min="8" max="8" width="14" bestFit="1" customWidth="1"/>
    <col min="9" max="9" width="10.42578125" bestFit="1" customWidth="1"/>
    <col min="10" max="10" width="11.85546875" style="149" bestFit="1" customWidth="1"/>
    <col min="11" max="11" width="10.85546875" bestFit="1" customWidth="1"/>
    <col min="12" max="12" width="15.5703125" bestFit="1" customWidth="1"/>
    <col min="13" max="13" width="15.28515625" bestFit="1" customWidth="1"/>
  </cols>
  <sheetData>
    <row r="1" spans="1:14" s="6" customFormat="1" ht="10.5">
      <c r="A1" s="53" t="s">
        <v>111</v>
      </c>
      <c r="C1" s="7">
        <v>483513624</v>
      </c>
      <c r="D1" s="181">
        <v>18014290</v>
      </c>
      <c r="E1" s="101" t="s">
        <v>649</v>
      </c>
      <c r="F1" s="189"/>
      <c r="G1" s="100" t="s">
        <v>76</v>
      </c>
      <c r="H1" s="8">
        <f>C1-H2-H3</f>
        <v>297342416</v>
      </c>
      <c r="I1" s="27"/>
      <c r="J1" s="132"/>
      <c r="K1" s="9"/>
      <c r="L1" s="101"/>
      <c r="M1" s="181"/>
      <c r="N1" s="41">
        <f ca="1">NOW()</f>
        <v>43335.607293981484</v>
      </c>
    </row>
    <row r="2" spans="1:14" s="1" customFormat="1" ht="10.5">
      <c r="A2" s="54" t="s">
        <v>234</v>
      </c>
      <c r="B2" s="21"/>
      <c r="C2" s="20"/>
      <c r="D2" s="190" t="s">
        <v>28</v>
      </c>
      <c r="E2" s="102" t="s">
        <v>632</v>
      </c>
      <c r="F2" s="190"/>
      <c r="G2" s="103" t="s">
        <v>52</v>
      </c>
      <c r="H2" s="25">
        <f>SUM(C1/3*1)</f>
        <v>161171208</v>
      </c>
      <c r="I2" s="20"/>
      <c r="J2" s="133" t="s">
        <v>9</v>
      </c>
      <c r="K2" s="23"/>
      <c r="L2" s="102"/>
      <c r="M2" s="102"/>
      <c r="N2" s="84"/>
    </row>
    <row r="3" spans="1:14" s="1" customFormat="1" ht="10.5">
      <c r="A3" s="54"/>
      <c r="B3" s="21"/>
      <c r="C3" s="20"/>
      <c r="D3" s="190">
        <v>3321891</v>
      </c>
      <c r="E3" s="102" t="s">
        <v>651</v>
      </c>
      <c r="F3" s="190"/>
      <c r="G3" s="103" t="s">
        <v>290</v>
      </c>
      <c r="H3" s="25">
        <v>25000000</v>
      </c>
      <c r="I3" s="20"/>
      <c r="J3" s="133"/>
      <c r="K3" s="23"/>
      <c r="L3" s="102"/>
      <c r="M3" s="102"/>
      <c r="N3" s="84"/>
    </row>
    <row r="4" spans="1:14" s="1" customFormat="1" ht="10.5">
      <c r="A4" s="54"/>
      <c r="B4" s="21"/>
      <c r="C4" s="20"/>
      <c r="D4" s="190"/>
      <c r="E4" s="102" t="s">
        <v>632</v>
      </c>
      <c r="F4" s="190"/>
      <c r="G4" s="103"/>
      <c r="H4" s="25"/>
      <c r="I4" s="20"/>
      <c r="J4" s="133"/>
      <c r="K4" s="23"/>
      <c r="L4" s="102"/>
      <c r="M4" s="102"/>
      <c r="N4" s="84"/>
    </row>
    <row r="5" spans="1:14" s="1" customFormat="1" ht="10.5">
      <c r="A5" s="54"/>
      <c r="B5" s="21"/>
      <c r="C5" s="20"/>
      <c r="D5" s="190"/>
      <c r="E5" s="102"/>
      <c r="F5" s="190"/>
      <c r="G5" s="103"/>
      <c r="H5" s="25"/>
      <c r="I5" s="20"/>
      <c r="J5" s="133"/>
      <c r="K5" s="23"/>
      <c r="L5" s="102"/>
      <c r="M5" s="102"/>
      <c r="N5" s="84"/>
    </row>
    <row r="6" spans="1:14" s="1" customFormat="1" ht="10.5">
      <c r="A6" s="54"/>
      <c r="B6" s="21"/>
      <c r="C6" s="20"/>
      <c r="D6" s="190"/>
      <c r="E6" s="102"/>
      <c r="F6" s="190"/>
      <c r="G6" s="103"/>
      <c r="H6" s="25"/>
      <c r="I6" s="20"/>
      <c r="J6" s="133"/>
      <c r="K6" s="23"/>
      <c r="L6" s="102"/>
      <c r="M6" s="102"/>
      <c r="N6" s="84"/>
    </row>
    <row r="7" spans="1:14" s="1" customFormat="1" ht="10.5">
      <c r="A7" s="54"/>
      <c r="B7" s="21"/>
      <c r="C7" s="20"/>
      <c r="D7" s="190"/>
      <c r="E7" s="102"/>
      <c r="F7" s="190"/>
      <c r="G7" s="103"/>
      <c r="H7" s="25"/>
      <c r="I7" s="20"/>
      <c r="J7" s="133"/>
      <c r="K7" s="23"/>
      <c r="L7" s="102"/>
      <c r="M7" s="102"/>
      <c r="N7" s="84"/>
    </row>
    <row r="8" spans="1:14" s="1" customFormat="1" ht="10.5">
      <c r="A8" s="43"/>
      <c r="B8" s="21"/>
      <c r="C8" s="21"/>
      <c r="D8" s="190"/>
      <c r="E8" s="102"/>
      <c r="F8" s="190"/>
      <c r="G8" s="104"/>
      <c r="H8" s="44"/>
      <c r="I8" s="23"/>
      <c r="J8" s="133"/>
      <c r="K8" s="23"/>
      <c r="L8" s="102"/>
      <c r="M8" s="102"/>
      <c r="N8" s="42"/>
    </row>
    <row r="9" spans="1:14" s="12" customFormat="1" ht="10.5">
      <c r="A9" s="45" t="s">
        <v>215</v>
      </c>
      <c r="B9" s="20" t="s">
        <v>242</v>
      </c>
      <c r="C9" s="20" t="s">
        <v>197</v>
      </c>
      <c r="D9" s="104" t="s">
        <v>151</v>
      </c>
      <c r="E9" s="105" t="s">
        <v>246</v>
      </c>
      <c r="F9" s="104" t="s">
        <v>247</v>
      </c>
      <c r="G9" s="104" t="s">
        <v>30</v>
      </c>
      <c r="H9" s="24" t="s">
        <v>74</v>
      </c>
      <c r="I9" s="24" t="s">
        <v>218</v>
      </c>
      <c r="J9" s="134" t="s">
        <v>19</v>
      </c>
      <c r="K9" s="24" t="s">
        <v>137</v>
      </c>
      <c r="L9" s="105" t="s">
        <v>168</v>
      </c>
      <c r="M9" s="105" t="s">
        <v>267</v>
      </c>
      <c r="N9" s="42" t="s">
        <v>148</v>
      </c>
    </row>
    <row r="10" spans="1:14" s="12" customFormat="1" ht="10.5">
      <c r="A10" s="45" t="s">
        <v>281</v>
      </c>
      <c r="B10" s="21"/>
      <c r="C10" s="22" t="s">
        <v>282</v>
      </c>
      <c r="D10" s="104" t="s">
        <v>259</v>
      </c>
      <c r="E10" s="105" t="s">
        <v>270</v>
      </c>
      <c r="F10" s="104" t="s">
        <v>259</v>
      </c>
      <c r="G10" s="104" t="s">
        <v>259</v>
      </c>
      <c r="H10" s="24" t="s">
        <v>34</v>
      </c>
      <c r="I10" s="24" t="s">
        <v>102</v>
      </c>
      <c r="J10" s="134" t="s">
        <v>259</v>
      </c>
      <c r="K10" s="24" t="s">
        <v>102</v>
      </c>
      <c r="L10" s="105" t="s">
        <v>259</v>
      </c>
      <c r="M10" s="105" t="s">
        <v>259</v>
      </c>
      <c r="N10" s="42" t="s">
        <v>21</v>
      </c>
    </row>
    <row r="11" spans="1:14" s="20" customFormat="1" ht="11.25" thickBot="1">
      <c r="A11" s="46" t="s">
        <v>95</v>
      </c>
      <c r="B11" s="16" t="s">
        <v>28</v>
      </c>
      <c r="C11" s="17" t="s">
        <v>268</v>
      </c>
      <c r="D11" s="107"/>
      <c r="E11" s="106"/>
      <c r="F11" s="107"/>
      <c r="G11" s="107"/>
      <c r="H11" s="18"/>
      <c r="I11" s="18"/>
      <c r="J11" s="135"/>
      <c r="K11" s="18"/>
      <c r="L11" s="106"/>
      <c r="M11" s="106"/>
      <c r="N11" s="47" t="s">
        <v>34</v>
      </c>
    </row>
    <row r="12" spans="1:14" s="20" customFormat="1" ht="10.5">
      <c r="A12" s="55" t="s">
        <v>119</v>
      </c>
      <c r="B12" s="21"/>
      <c r="C12" s="22"/>
      <c r="D12" s="104"/>
      <c r="E12" s="105"/>
      <c r="F12" s="104"/>
      <c r="G12" s="104"/>
      <c r="H12" s="24"/>
      <c r="I12" s="24"/>
      <c r="J12" s="134"/>
      <c r="K12" s="24"/>
      <c r="L12" s="105"/>
      <c r="M12" s="105"/>
      <c r="N12" s="24"/>
    </row>
    <row r="13" spans="1:14" s="152" customFormat="1">
      <c r="A13" s="142">
        <v>120</v>
      </c>
      <c r="B13" s="1" t="s">
        <v>621</v>
      </c>
      <c r="C13" t="s">
        <v>60</v>
      </c>
      <c r="D13" s="112">
        <v>5000000</v>
      </c>
      <c r="E13" s="184" t="s">
        <v>303</v>
      </c>
      <c r="F13" s="112">
        <v>5000000</v>
      </c>
      <c r="G13" s="153"/>
      <c r="H13" s="154">
        <v>36161</v>
      </c>
      <c r="I13" s="154">
        <f>H13+35</f>
        <v>36196</v>
      </c>
      <c r="J13" s="149"/>
      <c r="K13" s="154">
        <f>H13+180</f>
        <v>36341</v>
      </c>
      <c r="L13" s="163"/>
      <c r="M13" s="164"/>
      <c r="N13" s="154"/>
    </row>
    <row r="14" spans="1:14" s="152" customFormat="1">
      <c r="A14" s="142">
        <v>215</v>
      </c>
      <c r="B14" s="1" t="s">
        <v>621</v>
      </c>
      <c r="C14" t="s">
        <v>22</v>
      </c>
      <c r="D14" s="112">
        <v>13641450</v>
      </c>
      <c r="E14" s="196">
        <v>0.68899999999999995</v>
      </c>
      <c r="F14" s="179">
        <f>D14*E14</f>
        <v>9398959.0499999989</v>
      </c>
      <c r="G14" s="153"/>
      <c r="H14" s="154">
        <v>36161</v>
      </c>
      <c r="I14" s="154">
        <f t="shared" ref="I14:I29" si="0">H14+35</f>
        <v>36196</v>
      </c>
      <c r="J14" s="149"/>
      <c r="K14" s="154">
        <f t="shared" ref="K14:K29" si="1">H14+180</f>
        <v>36341</v>
      </c>
      <c r="M14" s="163"/>
      <c r="N14" s="154"/>
    </row>
    <row r="15" spans="1:14" s="152" customFormat="1">
      <c r="A15" s="142">
        <v>2643</v>
      </c>
      <c r="B15" s="1" t="s">
        <v>621</v>
      </c>
      <c r="C15" s="152" t="s">
        <v>295</v>
      </c>
      <c r="D15" s="153">
        <v>21585530</v>
      </c>
      <c r="E15" s="257">
        <v>0.85070000000000001</v>
      </c>
      <c r="F15" s="179">
        <f>D15*E15</f>
        <v>18362810.370999999</v>
      </c>
      <c r="G15" s="153">
        <v>18362810</v>
      </c>
      <c r="H15" s="154">
        <v>36161</v>
      </c>
      <c r="I15" s="154">
        <f t="shared" si="0"/>
        <v>36196</v>
      </c>
      <c r="J15" s="163">
        <v>18362810</v>
      </c>
      <c r="K15" s="154">
        <f t="shared" si="1"/>
        <v>36341</v>
      </c>
      <c r="L15" s="163"/>
      <c r="M15" s="164">
        <v>18362810</v>
      </c>
      <c r="N15" s="154"/>
    </row>
    <row r="16" spans="1:14" s="152" customFormat="1">
      <c r="A16" s="209">
        <v>2644</v>
      </c>
      <c r="B16" s="1" t="s">
        <v>633</v>
      </c>
      <c r="C16" s="152" t="s">
        <v>297</v>
      </c>
      <c r="D16" s="153">
        <v>21171147</v>
      </c>
      <c r="E16" s="161">
        <v>0.49969999999999998</v>
      </c>
      <c r="F16" s="179">
        <f>D16*E16</f>
        <v>10579222.1559</v>
      </c>
      <c r="G16" s="258">
        <v>10579222</v>
      </c>
      <c r="H16" s="154">
        <v>36161</v>
      </c>
      <c r="I16" s="154">
        <f t="shared" si="0"/>
        <v>36196</v>
      </c>
      <c r="J16" s="163">
        <v>10579222</v>
      </c>
      <c r="K16" s="154">
        <f t="shared" si="1"/>
        <v>36341</v>
      </c>
      <c r="L16" s="163">
        <v>10450000</v>
      </c>
      <c r="M16" s="164">
        <f>J16-L16</f>
        <v>129222</v>
      </c>
      <c r="N16" s="154">
        <v>36343</v>
      </c>
    </row>
    <row r="17" spans="1:14" s="152" customFormat="1">
      <c r="A17" s="209">
        <v>2657</v>
      </c>
      <c r="B17" s="1" t="s">
        <v>633</v>
      </c>
      <c r="C17" s="152" t="s">
        <v>686</v>
      </c>
      <c r="D17" s="153">
        <v>1573450</v>
      </c>
      <c r="E17" s="161">
        <v>0.1002</v>
      </c>
      <c r="F17" s="153">
        <v>1573450</v>
      </c>
      <c r="G17" s="153">
        <v>1573450</v>
      </c>
      <c r="H17" s="154">
        <v>36168</v>
      </c>
      <c r="I17" s="154">
        <f t="shared" si="0"/>
        <v>36203</v>
      </c>
      <c r="J17" s="163">
        <v>1573450</v>
      </c>
      <c r="K17" s="154">
        <f t="shared" si="1"/>
        <v>36348</v>
      </c>
      <c r="L17" s="163">
        <v>1573450</v>
      </c>
      <c r="M17" s="163">
        <v>0</v>
      </c>
      <c r="N17" s="154">
        <v>36350</v>
      </c>
    </row>
    <row r="18" spans="1:14" s="152" customFormat="1">
      <c r="A18" s="209">
        <v>2658</v>
      </c>
      <c r="B18" s="1" t="s">
        <v>633</v>
      </c>
      <c r="C18" s="152" t="s">
        <v>276</v>
      </c>
      <c r="D18" s="153">
        <v>25000000</v>
      </c>
      <c r="E18" s="161">
        <v>0.77439999999999998</v>
      </c>
      <c r="F18" s="179">
        <f>D18*E18</f>
        <v>19360000</v>
      </c>
      <c r="G18" s="153">
        <v>19360000</v>
      </c>
      <c r="H18" s="154">
        <v>36168</v>
      </c>
      <c r="I18" s="154">
        <f t="shared" si="0"/>
        <v>36203</v>
      </c>
      <c r="J18" s="163">
        <v>19360000</v>
      </c>
      <c r="K18" s="154">
        <f t="shared" si="1"/>
        <v>36348</v>
      </c>
      <c r="L18" s="163">
        <v>10450000</v>
      </c>
      <c r="M18" s="164">
        <f>J18-L18</f>
        <v>8910000</v>
      </c>
      <c r="N18" s="154">
        <v>36341</v>
      </c>
    </row>
    <row r="19" spans="1:14" s="152" customFormat="1">
      <c r="A19" s="209">
        <v>2659</v>
      </c>
      <c r="B19" s="1" t="s">
        <v>633</v>
      </c>
      <c r="C19" s="152" t="s">
        <v>685</v>
      </c>
      <c r="D19" s="153">
        <v>10893581</v>
      </c>
      <c r="E19" s="161">
        <v>0.54410000000000003</v>
      </c>
      <c r="F19" s="153">
        <v>10893581</v>
      </c>
      <c r="G19" s="153">
        <v>10893581</v>
      </c>
      <c r="H19" s="154">
        <v>36168</v>
      </c>
      <c r="I19" s="154">
        <f t="shared" si="0"/>
        <v>36203</v>
      </c>
      <c r="J19" s="163">
        <v>10893581</v>
      </c>
      <c r="K19" s="154">
        <f t="shared" si="1"/>
        <v>36348</v>
      </c>
      <c r="L19" s="163">
        <v>10893581</v>
      </c>
      <c r="M19" s="164">
        <v>0</v>
      </c>
      <c r="N19" s="154">
        <v>36340</v>
      </c>
    </row>
    <row r="20" spans="1:14" s="152" customFormat="1">
      <c r="A20" s="209">
        <v>2660</v>
      </c>
      <c r="B20" s="1" t="s">
        <v>627</v>
      </c>
      <c r="C20" s="152" t="s">
        <v>289</v>
      </c>
      <c r="D20" s="153">
        <v>18897550</v>
      </c>
      <c r="E20" s="161">
        <v>1</v>
      </c>
      <c r="F20" s="179">
        <f>D20</f>
        <v>18897550</v>
      </c>
      <c r="G20" s="153">
        <v>18897550</v>
      </c>
      <c r="H20" s="154">
        <v>36168</v>
      </c>
      <c r="I20" s="154">
        <f t="shared" si="0"/>
        <v>36203</v>
      </c>
      <c r="J20" s="163">
        <v>18897550</v>
      </c>
      <c r="K20" s="154">
        <f t="shared" si="1"/>
        <v>36348</v>
      </c>
      <c r="L20" s="163"/>
      <c r="M20" s="164">
        <v>18897550</v>
      </c>
      <c r="N20" s="154">
        <v>36356</v>
      </c>
    </row>
    <row r="21" spans="1:14" s="152" customFormat="1">
      <c r="A21" s="209">
        <v>2670</v>
      </c>
      <c r="B21" s="1" t="s">
        <v>633</v>
      </c>
      <c r="C21" s="152" t="s">
        <v>69</v>
      </c>
      <c r="D21" s="153">
        <v>24015302.5</v>
      </c>
      <c r="E21" s="161">
        <v>0.86860000000000004</v>
      </c>
      <c r="F21" s="179">
        <f>D21*E21</f>
        <v>20859691.751499999</v>
      </c>
      <c r="G21" s="153">
        <v>20859692</v>
      </c>
      <c r="H21" s="154">
        <v>36175</v>
      </c>
      <c r="I21" s="154">
        <f t="shared" si="0"/>
        <v>36210</v>
      </c>
      <c r="J21" s="163">
        <v>20859692</v>
      </c>
      <c r="K21" s="154">
        <f t="shared" si="1"/>
        <v>36355</v>
      </c>
      <c r="L21" s="153">
        <v>20859692</v>
      </c>
      <c r="M21" s="163">
        <v>0</v>
      </c>
      <c r="N21" s="154">
        <v>36342</v>
      </c>
    </row>
    <row r="22" spans="1:14" s="152" customFormat="1">
      <c r="A22" s="209">
        <v>2671</v>
      </c>
      <c r="B22" s="1" t="s">
        <v>633</v>
      </c>
      <c r="C22" s="152" t="s">
        <v>301</v>
      </c>
      <c r="D22" s="153">
        <v>22651462</v>
      </c>
      <c r="E22" s="161" t="s">
        <v>296</v>
      </c>
      <c r="F22" s="153">
        <v>22761472</v>
      </c>
      <c r="G22" s="153">
        <v>22761472</v>
      </c>
      <c r="H22" s="154">
        <v>36175</v>
      </c>
      <c r="I22" s="154">
        <f t="shared" si="0"/>
        <v>36210</v>
      </c>
      <c r="J22" s="163">
        <v>22761472</v>
      </c>
      <c r="K22" s="154">
        <f t="shared" si="1"/>
        <v>36355</v>
      </c>
      <c r="L22" s="163">
        <v>9405000</v>
      </c>
      <c r="M22" s="164">
        <f>J22-L22</f>
        <v>13356472</v>
      </c>
      <c r="N22" s="154">
        <v>36355</v>
      </c>
    </row>
    <row r="23" spans="1:14" s="152" customFormat="1">
      <c r="A23" s="209">
        <v>2672</v>
      </c>
      <c r="B23" s="1" t="s">
        <v>627</v>
      </c>
      <c r="C23" s="152" t="s">
        <v>54</v>
      </c>
      <c r="D23" s="153">
        <v>11391755</v>
      </c>
      <c r="E23" s="161">
        <v>0.65429999999999999</v>
      </c>
      <c r="F23" s="179">
        <f>D23</f>
        <v>11391755</v>
      </c>
      <c r="G23" s="153">
        <v>11391755</v>
      </c>
      <c r="H23" s="154">
        <v>36175</v>
      </c>
      <c r="I23" s="154">
        <f t="shared" si="0"/>
        <v>36210</v>
      </c>
      <c r="J23" s="163">
        <v>11391755</v>
      </c>
      <c r="K23" s="154">
        <f t="shared" si="1"/>
        <v>36355</v>
      </c>
      <c r="L23" s="163"/>
      <c r="M23" s="164">
        <v>11391755</v>
      </c>
      <c r="N23" s="154">
        <v>36370</v>
      </c>
    </row>
    <row r="24" spans="1:14" s="152" customFormat="1">
      <c r="A24" s="209">
        <v>2673</v>
      </c>
      <c r="B24" s="1" t="s">
        <v>633</v>
      </c>
      <c r="C24" s="152" t="s">
        <v>112</v>
      </c>
      <c r="D24" s="153">
        <v>22780136</v>
      </c>
      <c r="E24" s="161">
        <v>0.63529999999999998</v>
      </c>
      <c r="F24" s="179">
        <f>D24*E24</f>
        <v>14472220.400799999</v>
      </c>
      <c r="G24" s="153">
        <v>14472220</v>
      </c>
      <c r="H24" s="154">
        <v>36175</v>
      </c>
      <c r="I24" s="154">
        <f t="shared" si="0"/>
        <v>36210</v>
      </c>
      <c r="J24" s="163">
        <v>14472220</v>
      </c>
      <c r="K24" s="154">
        <f t="shared" si="1"/>
        <v>36355</v>
      </c>
      <c r="L24" s="163">
        <v>14468025</v>
      </c>
      <c r="M24" s="164">
        <f>J24-L24</f>
        <v>4195</v>
      </c>
      <c r="N24" s="154">
        <v>36281</v>
      </c>
    </row>
    <row r="25" spans="1:14" s="191" customFormat="1" ht="13.5" customHeight="1">
      <c r="A25" s="209">
        <v>161</v>
      </c>
      <c r="B25" s="21" t="s">
        <v>621</v>
      </c>
      <c r="C25" t="s">
        <v>113</v>
      </c>
      <c r="D25" s="112">
        <v>21304640</v>
      </c>
      <c r="E25" s="192" t="s">
        <v>304</v>
      </c>
      <c r="F25" s="179" t="e">
        <f t="shared" ref="F25:F31" si="2">D25*E25</f>
        <v>#VALUE!</v>
      </c>
      <c r="G25" s="193"/>
      <c r="H25" s="194">
        <v>36182</v>
      </c>
      <c r="I25" s="154">
        <f t="shared" si="0"/>
        <v>36217</v>
      </c>
      <c r="J25" s="149"/>
      <c r="K25" s="154">
        <f t="shared" si="1"/>
        <v>36362</v>
      </c>
      <c r="M25" s="193"/>
      <c r="N25" s="194"/>
    </row>
    <row r="26" spans="1:14" s="152" customFormat="1">
      <c r="A26" s="209">
        <v>2682</v>
      </c>
      <c r="B26" s="1" t="s">
        <v>633</v>
      </c>
      <c r="C26" s="152" t="s">
        <v>641</v>
      </c>
      <c r="D26" s="153">
        <v>21742715</v>
      </c>
      <c r="E26" s="161">
        <v>1</v>
      </c>
      <c r="F26" s="179">
        <f t="shared" si="2"/>
        <v>21742715</v>
      </c>
      <c r="G26" s="214">
        <v>21742715</v>
      </c>
      <c r="H26" s="194">
        <v>36183</v>
      </c>
      <c r="I26" s="154">
        <f t="shared" si="0"/>
        <v>36218</v>
      </c>
      <c r="J26" s="163">
        <v>21742715</v>
      </c>
      <c r="K26" s="154">
        <f t="shared" si="1"/>
        <v>36363</v>
      </c>
      <c r="L26" s="163">
        <v>21742715</v>
      </c>
      <c r="M26" s="164">
        <v>0</v>
      </c>
      <c r="N26" s="154">
        <v>36214</v>
      </c>
    </row>
    <row r="27" spans="1:14" s="152" customFormat="1">
      <c r="A27" s="209">
        <v>48</v>
      </c>
      <c r="B27" s="1" t="s">
        <v>621</v>
      </c>
      <c r="C27" t="s">
        <v>136</v>
      </c>
      <c r="D27" s="112">
        <v>9864150</v>
      </c>
      <c r="E27" s="161" t="s">
        <v>304</v>
      </c>
      <c r="F27" s="179" t="e">
        <f t="shared" si="2"/>
        <v>#VALUE!</v>
      </c>
      <c r="G27" s="153"/>
      <c r="H27" s="194">
        <v>36182</v>
      </c>
      <c r="I27" s="154">
        <f t="shared" si="0"/>
        <v>36217</v>
      </c>
      <c r="J27" s="149"/>
      <c r="K27" s="154">
        <f t="shared" si="1"/>
        <v>36362</v>
      </c>
      <c r="L27" s="153"/>
      <c r="N27" s="154"/>
    </row>
    <row r="28" spans="1:14" s="152" customFormat="1">
      <c r="A28" s="209">
        <v>107</v>
      </c>
      <c r="B28" s="1" t="s">
        <v>621</v>
      </c>
      <c r="C28" t="s">
        <v>97</v>
      </c>
      <c r="D28" s="112">
        <v>16371350</v>
      </c>
      <c r="E28" s="161" t="s">
        <v>304</v>
      </c>
      <c r="F28" s="179" t="e">
        <f t="shared" si="2"/>
        <v>#VALUE!</v>
      </c>
      <c r="G28" s="153"/>
      <c r="H28" s="154">
        <v>36189</v>
      </c>
      <c r="I28" s="154">
        <f t="shared" si="0"/>
        <v>36224</v>
      </c>
      <c r="J28" s="163"/>
      <c r="K28" s="154">
        <f t="shared" si="1"/>
        <v>36369</v>
      </c>
      <c r="M28" s="153"/>
      <c r="N28" s="154"/>
    </row>
    <row r="29" spans="1:14" s="197" customFormat="1">
      <c r="A29" s="197">
        <v>195</v>
      </c>
      <c r="B29" s="198" t="s">
        <v>621</v>
      </c>
      <c r="C29" s="197" t="s">
        <v>27</v>
      </c>
      <c r="D29" s="199">
        <v>25000000</v>
      </c>
      <c r="E29" s="200" t="s">
        <v>304</v>
      </c>
      <c r="F29" s="201" t="e">
        <f t="shared" si="2"/>
        <v>#VALUE!</v>
      </c>
      <c r="G29" s="202"/>
      <c r="H29" s="211">
        <v>36189</v>
      </c>
      <c r="I29" s="211">
        <f t="shared" si="0"/>
        <v>36224</v>
      </c>
      <c r="J29" s="213"/>
      <c r="K29" s="211">
        <f t="shared" si="1"/>
        <v>36369</v>
      </c>
    </row>
    <row r="30" spans="1:14">
      <c r="A30" s="210">
        <v>126</v>
      </c>
      <c r="B30" s="1" t="s">
        <v>621</v>
      </c>
      <c r="C30" t="s">
        <v>265</v>
      </c>
      <c r="D30" s="112">
        <v>25000000</v>
      </c>
      <c r="E30" s="156" t="s">
        <v>304</v>
      </c>
      <c r="F30" s="179" t="e">
        <f t="shared" si="2"/>
        <v>#VALUE!</v>
      </c>
      <c r="J30"/>
    </row>
    <row r="31" spans="1:14">
      <c r="A31" s="210">
        <v>79</v>
      </c>
      <c r="B31" s="1" t="s">
        <v>621</v>
      </c>
      <c r="C31" t="s">
        <v>205</v>
      </c>
      <c r="D31" s="112">
        <v>21509412</v>
      </c>
      <c r="E31" s="156" t="s">
        <v>304</v>
      </c>
      <c r="F31" s="179" t="e">
        <f t="shared" si="2"/>
        <v>#VALUE!</v>
      </c>
      <c r="J31" s="125"/>
    </row>
    <row r="32" spans="1:14" s="152" customFormat="1">
      <c r="A32" s="209">
        <v>2745</v>
      </c>
      <c r="B32" s="1" t="s">
        <v>633</v>
      </c>
      <c r="C32" s="152" t="s">
        <v>715</v>
      </c>
      <c r="D32" s="179">
        <v>161171208</v>
      </c>
      <c r="E32" s="161"/>
      <c r="F32" s="179">
        <v>161171208</v>
      </c>
      <c r="G32" s="163">
        <v>161171208</v>
      </c>
      <c r="H32" s="154">
        <v>36382</v>
      </c>
      <c r="I32" s="154">
        <f>H32+35</f>
        <v>36417</v>
      </c>
      <c r="J32" s="163">
        <v>161171208</v>
      </c>
      <c r="K32" s="154">
        <f>H32+180</f>
        <v>36562</v>
      </c>
      <c r="L32" s="237">
        <f>60000000+101171000</f>
        <v>161171000</v>
      </c>
      <c r="M32" s="164">
        <f>J32-L32</f>
        <v>208</v>
      </c>
    </row>
    <row r="33" spans="1:14" s="130" customFormat="1">
      <c r="A33" s="261"/>
      <c r="B33" s="12"/>
      <c r="D33" s="140"/>
      <c r="E33" s="262"/>
      <c r="F33" s="140"/>
      <c r="G33" s="145"/>
      <c r="H33" s="141"/>
      <c r="I33" s="141"/>
      <c r="J33" s="145"/>
      <c r="K33" s="141"/>
    </row>
    <row r="34" spans="1:14" s="152" customFormat="1">
      <c r="A34" s="142" t="s">
        <v>669</v>
      </c>
      <c r="B34" s="1"/>
      <c r="C34" s="152" t="s">
        <v>97</v>
      </c>
      <c r="D34" s="179">
        <v>16371350</v>
      </c>
      <c r="E34" s="161">
        <v>0.70520000000000005</v>
      </c>
      <c r="F34" s="179">
        <f>D34*E34</f>
        <v>11545076.020000001</v>
      </c>
      <c r="G34" s="153"/>
      <c r="J34" s="125"/>
      <c r="K34" s="196"/>
    </row>
    <row r="35" spans="1:14">
      <c r="A35" t="s">
        <v>669</v>
      </c>
      <c r="B35" s="1"/>
      <c r="C35" s="152" t="s">
        <v>2</v>
      </c>
      <c r="D35" s="122">
        <v>25000000</v>
      </c>
      <c r="E35" s="161" t="s">
        <v>304</v>
      </c>
      <c r="F35" s="179"/>
      <c r="I35" s="112"/>
      <c r="J35"/>
    </row>
    <row r="36" spans="1:14">
      <c r="C36" s="152" t="s">
        <v>113</v>
      </c>
      <c r="D36" s="122">
        <v>21304640</v>
      </c>
      <c r="E36" s="263">
        <v>0.82410000000000005</v>
      </c>
      <c r="F36" s="179">
        <f>D36*E36</f>
        <v>17557153.824000001</v>
      </c>
    </row>
    <row r="37" spans="1:14" s="152" customFormat="1">
      <c r="A37" s="142"/>
      <c r="B37" s="1"/>
      <c r="C37" s="152" t="s">
        <v>27</v>
      </c>
      <c r="D37" s="179">
        <v>25000000</v>
      </c>
      <c r="E37" s="161">
        <v>0.6</v>
      </c>
      <c r="F37" s="179">
        <f>D37*E37</f>
        <v>15000000</v>
      </c>
      <c r="G37" s="179"/>
      <c r="H37" s="154"/>
      <c r="I37" s="183"/>
      <c r="J37" s="163"/>
      <c r="K37" s="183"/>
    </row>
    <row r="38" spans="1:14">
      <c r="B38" s="1"/>
      <c r="C38" s="152" t="s">
        <v>136</v>
      </c>
      <c r="D38" s="122">
        <v>9864415</v>
      </c>
      <c r="E38" s="156" t="s">
        <v>304</v>
      </c>
      <c r="F38" s="179"/>
    </row>
    <row r="39" spans="1:14">
      <c r="B39" s="1"/>
      <c r="C39" s="152" t="s">
        <v>46</v>
      </c>
      <c r="D39" s="122">
        <v>19978200</v>
      </c>
      <c r="E39" s="156">
        <v>1</v>
      </c>
      <c r="F39" s="179">
        <f>D39*E39</f>
        <v>19978200</v>
      </c>
    </row>
    <row r="40" spans="1:14">
      <c r="B40" s="1"/>
      <c r="C40" s="152" t="s">
        <v>265</v>
      </c>
      <c r="D40" s="122">
        <v>25000000</v>
      </c>
      <c r="E40" s="156" t="s">
        <v>304</v>
      </c>
      <c r="F40" s="179"/>
    </row>
    <row r="41" spans="1:14">
      <c r="B41" s="1"/>
      <c r="C41" s="152" t="s">
        <v>699</v>
      </c>
      <c r="D41" s="122">
        <v>22737015</v>
      </c>
      <c r="E41" s="109">
        <v>0.43</v>
      </c>
      <c r="F41" s="179">
        <f>D41*E41</f>
        <v>9776916.4499999993</v>
      </c>
    </row>
    <row r="42" spans="1:14">
      <c r="B42" s="1"/>
      <c r="C42" s="152" t="s">
        <v>38</v>
      </c>
      <c r="D42" s="122">
        <v>25000000</v>
      </c>
      <c r="E42" s="109">
        <v>0.5</v>
      </c>
      <c r="F42" s="179">
        <f>D42*E42</f>
        <v>12500000</v>
      </c>
      <c r="K42" s="178">
        <f>L17+L19+L26+L42</f>
        <v>94209746</v>
      </c>
      <c r="L42" s="149">
        <v>60000000</v>
      </c>
    </row>
    <row r="43" spans="1:14" s="142" customFormat="1">
      <c r="B43" s="1"/>
      <c r="C43" s="152" t="s">
        <v>700</v>
      </c>
      <c r="D43" s="146">
        <v>25000000</v>
      </c>
      <c r="E43" s="156">
        <v>0.47170000000000001</v>
      </c>
      <c r="F43" s="179">
        <f>D43*E43</f>
        <v>11792500</v>
      </c>
      <c r="G43" s="147"/>
      <c r="H43" s="144"/>
      <c r="I43" s="157"/>
      <c r="J43" s="147"/>
      <c r="K43" s="157"/>
      <c r="L43" s="147"/>
      <c r="N43" s="144"/>
    </row>
    <row r="44" spans="1:14" s="142" customFormat="1">
      <c r="B44" s="1"/>
      <c r="D44" s="146"/>
      <c r="E44" s="156"/>
      <c r="F44" s="179"/>
      <c r="G44" s="143"/>
      <c r="H44" s="144"/>
      <c r="I44" s="157"/>
      <c r="J44" s="147"/>
      <c r="K44" s="157"/>
      <c r="L44" s="147"/>
      <c r="N44" s="144"/>
    </row>
    <row r="45" spans="1:14" s="152" customFormat="1">
      <c r="A45" s="142"/>
      <c r="B45" s="1"/>
      <c r="D45" s="179"/>
      <c r="E45" s="161"/>
      <c r="F45" s="179"/>
      <c r="G45" s="153"/>
      <c r="H45" s="154"/>
      <c r="I45" s="183"/>
      <c r="J45" s="153"/>
      <c r="K45" s="183"/>
      <c r="L45" s="163"/>
      <c r="N45" s="154"/>
    </row>
    <row r="46" spans="1:14">
      <c r="F46" s="179"/>
    </row>
    <row r="47" spans="1:14">
      <c r="F47" s="179"/>
    </row>
    <row r="48" spans="1:14">
      <c r="F48" s="179"/>
    </row>
    <row r="49" spans="1:14">
      <c r="A49" s="55" t="s">
        <v>3</v>
      </c>
      <c r="F49" s="179">
        <f>D49*E49</f>
        <v>0</v>
      </c>
    </row>
    <row r="50" spans="1:14">
      <c r="A50">
        <v>252</v>
      </c>
      <c r="B50" s="1" t="s">
        <v>621</v>
      </c>
      <c r="C50" t="s">
        <v>46</v>
      </c>
      <c r="D50" s="112">
        <v>19978200</v>
      </c>
      <c r="E50" s="108">
        <v>1</v>
      </c>
      <c r="F50" s="179">
        <f>D50</f>
        <v>19978200</v>
      </c>
    </row>
    <row r="51" spans="1:14">
      <c r="A51">
        <v>232</v>
      </c>
      <c r="B51" s="1" t="s">
        <v>621</v>
      </c>
      <c r="C51" t="s">
        <v>302</v>
      </c>
      <c r="D51" s="112">
        <v>23525932</v>
      </c>
      <c r="E51" t="s">
        <v>304</v>
      </c>
    </row>
    <row r="52" spans="1:14">
      <c r="A52">
        <v>44</v>
      </c>
      <c r="B52" s="1" t="s">
        <v>621</v>
      </c>
      <c r="C52" t="s">
        <v>2</v>
      </c>
      <c r="D52" s="112">
        <v>25000000</v>
      </c>
      <c r="E52" s="156" t="s">
        <v>304</v>
      </c>
      <c r="F52" s="179" t="e">
        <f>#REF!*E52</f>
        <v>#REF!</v>
      </c>
    </row>
    <row r="53" spans="1:14" s="152" customFormat="1">
      <c r="A53" s="142">
        <v>2747</v>
      </c>
      <c r="B53" s="1" t="s">
        <v>633</v>
      </c>
      <c r="C53" s="152" t="s">
        <v>709</v>
      </c>
      <c r="D53" s="179">
        <v>70000</v>
      </c>
      <c r="E53" s="161"/>
      <c r="F53" s="179"/>
      <c r="G53" s="237">
        <v>70000</v>
      </c>
      <c r="H53" s="154">
        <v>36385</v>
      </c>
      <c r="I53" s="154">
        <f>H53+35</f>
        <v>36420</v>
      </c>
      <c r="J53" s="163">
        <v>70000</v>
      </c>
      <c r="K53" s="154">
        <f>H53+180</f>
        <v>36565</v>
      </c>
      <c r="L53" s="237">
        <v>58000</v>
      </c>
      <c r="M53" s="164">
        <f>J53-L53</f>
        <v>12000</v>
      </c>
      <c r="N53" s="154">
        <v>36441</v>
      </c>
    </row>
    <row r="54" spans="1:14">
      <c r="B54" s="1" t="s">
        <v>300</v>
      </c>
      <c r="E54" s="109"/>
      <c r="F54" s="179">
        <f>D54*E54</f>
        <v>0</v>
      </c>
    </row>
    <row r="55" spans="1:14">
      <c r="B55" s="1" t="s">
        <v>300</v>
      </c>
      <c r="E55" s="109"/>
    </row>
    <row r="56" spans="1:14">
      <c r="B56" s="1" t="s">
        <v>300</v>
      </c>
      <c r="E56" s="109"/>
    </row>
    <row r="57" spans="1:14">
      <c r="B57" s="1" t="s">
        <v>300</v>
      </c>
      <c r="E57" s="109"/>
    </row>
    <row r="58" spans="1:14">
      <c r="A58" t="s">
        <v>296</v>
      </c>
      <c r="E58" s="109"/>
    </row>
    <row r="60" spans="1:14">
      <c r="E60" s="109"/>
    </row>
    <row r="62" spans="1:14">
      <c r="E62" s="109"/>
    </row>
    <row r="63" spans="1:14">
      <c r="C63" s="12" t="s">
        <v>25</v>
      </c>
      <c r="D63" s="127">
        <f>SUM(D12:D58)</f>
        <v>784394590.5</v>
      </c>
      <c r="F63" s="123" t="e">
        <f>SUM(F12:F54)</f>
        <v>#VALUE!</v>
      </c>
      <c r="G63" s="128">
        <f>SUM(G12:G54)</f>
        <v>332135675</v>
      </c>
      <c r="J63" s="150">
        <f>SUM(J12:J54)</f>
        <v>332135675</v>
      </c>
      <c r="K63" s="111"/>
      <c r="L63" s="110">
        <f>SUM(L12:L54)</f>
        <v>321071463</v>
      </c>
      <c r="M63" s="110">
        <f>SUM(M12:M54)</f>
        <v>71064212</v>
      </c>
    </row>
    <row r="64" spans="1:14">
      <c r="C64" s="12"/>
    </row>
    <row r="65" spans="3:8" ht="11.25" customHeight="1">
      <c r="C65" s="12" t="s">
        <v>264</v>
      </c>
      <c r="D65" s="140">
        <f>D63-G63</f>
        <v>452258915.5</v>
      </c>
    </row>
    <row r="66" spans="3:8">
      <c r="C66" s="12"/>
    </row>
    <row r="67" spans="3:8">
      <c r="C67" s="12" t="s">
        <v>37</v>
      </c>
      <c r="D67" s="140">
        <f>C1-G63+M63</f>
        <v>222442161</v>
      </c>
      <c r="E67" s="114"/>
    </row>
    <row r="73" spans="3:8">
      <c r="E73" s="112">
        <f>D13+D14+D25+D27+D28+D29+D30+D31+D50+D51+D52+'SC4 MF- TDHCA'!F12+'SC4 MF- TDHCA'!F15+'SC4 MF- TDHCA'!F23+'SC4 MF- TDHCA'!F26+'SC4 MF- TDHCA'!F27+'SC4 MF- TDHCA'!F29+'SC4 MF- TDHCA'!F31+'SC4 MF- TDHCA'!F32+'SC4 MF- TDHCA'!F33+'SC4 MF- TDHCA'!F34+'SC4 MF- TDHCA'!F37+'SC4 MF- TDHCA'!F38+'REGION 1'!F9+'REGION 1'!F10+'REGION 1'!F11+'REGION 3'!F15+'REGION 3'!F18+'REGION 3'!F20+'REGION 3'!F21+'REGION 3'!F22+'REGION 3'!F23+'REGION 3'!F27+'REGION 3'!F30+'REGION 3'!F31+'REGION 3'!F32+'REGION 3'!F33+'REGION 3'!F34+'REGION 3'!F35+'REGION 3'!F36+'REGION 3'!F37+'REGION 3'!F38+'REGION 3'!F39+'REGION 6'!F10+'REGION 6'!F14+'REGION 6'!F17+'REGION 6'!F19+'REGION 6'!F20+'REGION 6'!F23+'REGION 6'!F24+'REGION 6'!F27+'REGION 6'!F30+'REGION 6'!F31+'REGION 6'!F35+'REGION 6'!F38+'REGION 6'!F39+'REGION 6'!F40+'REGION 6'!F41+'REGION 6'!F42+'REGION 6'!F44+'REGION 6'!F46+'REGION 6'!F47+'REGION 6'!F48+'REGION 6'!F49+'REGION 6'!F51+'REGION 6'!F52+'REGION 6'!F55+'REGION 6'!F56+'REGION 6'!F57+'REGION 6'!F58</f>
        <v>989635749</v>
      </c>
      <c r="F73" s="112">
        <f>'REGION 6'!F59+'REGION 6'!F62+'REGION 6'!F65+'REGION 7'!F23+'REGION 8A'!F14+'REGION 8A'!F16+'REGION 8A'!F17+'REGION 8A'!F18+'REGION 8A'!F19+'REGION 8A'!F20+'REGION 8A'!F21+'REGION 8A'!F22+'REGION 8A'!F23+'SC6 OTHER'!F32</f>
        <v>182900000</v>
      </c>
      <c r="H73" s="112"/>
    </row>
    <row r="76" spans="3:8">
      <c r="E76" s="112"/>
      <c r="F76" s="112"/>
    </row>
  </sheetData>
  <phoneticPr fontId="0" type="noConversion"/>
  <pageMargins left="0.75" right="0.75" top="1" bottom="1" header="0.5" footer="0.5"/>
  <pageSetup scale="69" fitToHeight="2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4"/>
  <sheetViews>
    <sheetView workbookViewId="0">
      <selection activeCell="H12" sqref="H12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3" width="17.7109375" style="1" customWidth="1"/>
    <col min="4" max="4" width="14.7109375" style="30" customWidth="1"/>
    <col min="5" max="5" width="13.85546875" style="30" customWidth="1"/>
    <col min="6" max="6" width="13.7109375" style="1" customWidth="1"/>
    <col min="7" max="7" width="11.140625" style="1" customWidth="1"/>
    <col min="8" max="8" width="14.42578125" style="30" customWidth="1"/>
    <col min="9" max="9" width="9.140625" style="1" customWidth="1"/>
    <col min="10" max="10" width="12.85546875" style="30" bestFit="1" customWidth="1"/>
    <col min="11" max="11" width="12" style="30" bestFit="1" customWidth="1"/>
    <col min="12" max="16384" width="10.85546875" style="1"/>
  </cols>
  <sheetData>
    <row r="1" spans="1:18">
      <c r="A1" s="53" t="s">
        <v>278</v>
      </c>
      <c r="B1" s="27"/>
      <c r="C1" s="7">
        <v>130679358</v>
      </c>
      <c r="D1" s="36"/>
      <c r="E1" s="36"/>
      <c r="F1" s="9"/>
      <c r="G1" s="9"/>
      <c r="H1" s="36"/>
      <c r="I1" s="9"/>
      <c r="J1" s="36"/>
      <c r="K1" s="36"/>
      <c r="L1" s="41">
        <f ca="1">'SC1 MRB'!N1</f>
        <v>43335.607293981484</v>
      </c>
    </row>
    <row r="2" spans="1:18">
      <c r="A2" s="54" t="s">
        <v>0</v>
      </c>
      <c r="B2" s="21"/>
      <c r="C2" s="20"/>
      <c r="D2" s="34"/>
      <c r="E2" s="34"/>
      <c r="F2" s="23"/>
      <c r="G2" s="23"/>
      <c r="H2" s="34"/>
      <c r="I2" s="23"/>
      <c r="J2" s="34"/>
      <c r="K2" s="34"/>
      <c r="L2" s="42"/>
    </row>
    <row r="3" spans="1:18">
      <c r="A3" s="45" t="s">
        <v>215</v>
      </c>
      <c r="B3" s="20" t="s">
        <v>242</v>
      </c>
      <c r="C3" s="20" t="s">
        <v>197</v>
      </c>
      <c r="D3" s="33" t="s">
        <v>151</v>
      </c>
      <c r="E3" s="33" t="s">
        <v>30</v>
      </c>
      <c r="F3" s="24" t="s">
        <v>74</v>
      </c>
      <c r="G3" s="24" t="s">
        <v>218</v>
      </c>
      <c r="H3" s="33" t="s">
        <v>19</v>
      </c>
      <c r="I3" s="24" t="s">
        <v>252</v>
      </c>
      <c r="J3" s="33" t="s">
        <v>168</v>
      </c>
      <c r="K3" s="33" t="s">
        <v>267</v>
      </c>
      <c r="L3" s="42" t="s">
        <v>174</v>
      </c>
    </row>
    <row r="4" spans="1:18">
      <c r="A4" s="45" t="s">
        <v>281</v>
      </c>
      <c r="B4" s="21"/>
      <c r="C4" s="22" t="s">
        <v>282</v>
      </c>
      <c r="D4" s="33" t="s">
        <v>259</v>
      </c>
      <c r="E4" s="33" t="s">
        <v>259</v>
      </c>
      <c r="F4" s="24" t="s">
        <v>34</v>
      </c>
      <c r="G4" s="24" t="s">
        <v>102</v>
      </c>
      <c r="H4" s="33" t="s">
        <v>259</v>
      </c>
      <c r="I4" s="24" t="s">
        <v>102</v>
      </c>
      <c r="J4" s="33" t="s">
        <v>259</v>
      </c>
      <c r="K4" s="33" t="s">
        <v>259</v>
      </c>
      <c r="L4" s="42" t="s">
        <v>21</v>
      </c>
    </row>
    <row r="5" spans="1:18" s="12" customFormat="1" ht="11.25" thickBot="1">
      <c r="A5" s="46" t="s">
        <v>95</v>
      </c>
      <c r="B5" s="16"/>
      <c r="C5" s="17" t="s">
        <v>268</v>
      </c>
      <c r="D5" s="32"/>
      <c r="E5" s="32"/>
      <c r="F5" s="18"/>
      <c r="G5" s="18"/>
      <c r="H5" s="32"/>
      <c r="I5" s="18"/>
      <c r="J5" s="32"/>
      <c r="K5" s="32"/>
      <c r="L5" s="47" t="s">
        <v>34</v>
      </c>
      <c r="M5" s="1"/>
      <c r="N5" s="1"/>
      <c r="O5" s="1"/>
      <c r="P5" s="1"/>
      <c r="Q5" s="1"/>
      <c r="R5" s="1"/>
    </row>
    <row r="6" spans="1:18" s="12" customFormat="1">
      <c r="A6" s="20"/>
      <c r="B6" s="21"/>
      <c r="C6" s="22"/>
      <c r="D6" s="33"/>
      <c r="E6" s="33"/>
      <c r="F6" s="24"/>
      <c r="G6" s="24"/>
      <c r="H6" s="33"/>
      <c r="I6" s="24"/>
      <c r="J6" s="33"/>
      <c r="K6" s="33"/>
      <c r="L6" s="24"/>
      <c r="M6" s="1"/>
      <c r="N6" s="1"/>
      <c r="O6" s="1"/>
      <c r="P6" s="1"/>
      <c r="Q6" s="1"/>
      <c r="R6" s="1"/>
    </row>
    <row r="7" spans="1:18">
      <c r="A7" s="21">
        <v>2645</v>
      </c>
      <c r="B7" s="1" t="s">
        <v>633</v>
      </c>
      <c r="C7" s="25" t="s">
        <v>13</v>
      </c>
      <c r="D7" s="34">
        <v>25000000</v>
      </c>
      <c r="E7" s="34">
        <v>25000000</v>
      </c>
      <c r="F7" s="23">
        <v>36161</v>
      </c>
      <c r="G7" s="23">
        <f>F7+35</f>
        <v>36196</v>
      </c>
      <c r="H7" s="34">
        <v>25000000</v>
      </c>
      <c r="I7" s="23">
        <f>F7+120</f>
        <v>36281</v>
      </c>
      <c r="J7" s="34">
        <v>25000000</v>
      </c>
      <c r="K7" s="34">
        <v>0</v>
      </c>
      <c r="L7" s="23">
        <v>36280</v>
      </c>
    </row>
    <row r="8" spans="1:18" s="12" customFormat="1">
      <c r="A8" s="20"/>
      <c r="C8" s="22"/>
      <c r="D8" s="33"/>
      <c r="E8" s="33"/>
      <c r="F8" s="24"/>
      <c r="G8" s="24"/>
      <c r="H8" s="33"/>
      <c r="I8" s="24"/>
      <c r="J8" s="33"/>
      <c r="K8" s="33"/>
      <c r="L8" s="24"/>
    </row>
    <row r="9" spans="1:18">
      <c r="A9" s="21">
        <v>2655</v>
      </c>
      <c r="B9" s="1" t="s">
        <v>633</v>
      </c>
      <c r="C9" s="25" t="s">
        <v>625</v>
      </c>
      <c r="D9" s="34">
        <v>75000000</v>
      </c>
      <c r="E9" s="34">
        <v>75000000</v>
      </c>
      <c r="F9" s="23">
        <v>36161</v>
      </c>
      <c r="G9" s="23">
        <f>F9+35</f>
        <v>36196</v>
      </c>
      <c r="H9" s="34">
        <v>75000000</v>
      </c>
      <c r="I9" s="23">
        <f>F9+120</f>
        <v>36281</v>
      </c>
      <c r="J9" s="34">
        <v>75000000</v>
      </c>
      <c r="K9" s="34">
        <v>0</v>
      </c>
      <c r="L9" s="23">
        <v>36210</v>
      </c>
    </row>
    <row r="10" spans="1:18" s="12" customFormat="1">
      <c r="A10" s="20"/>
      <c r="C10" s="22"/>
      <c r="D10" s="33"/>
      <c r="E10" s="33"/>
      <c r="F10" s="24"/>
      <c r="G10" s="24"/>
      <c r="H10" s="33"/>
      <c r="I10" s="24"/>
      <c r="J10" s="33"/>
      <c r="K10" s="33"/>
      <c r="L10" s="24"/>
    </row>
    <row r="11" spans="1:18" s="12" customFormat="1">
      <c r="A11" s="20"/>
      <c r="C11" s="22"/>
      <c r="D11" s="33"/>
      <c r="E11" s="33"/>
      <c r="F11" s="24"/>
      <c r="G11" s="24"/>
      <c r="H11" s="33"/>
      <c r="I11" s="24"/>
      <c r="J11" s="33"/>
      <c r="K11" s="33"/>
      <c r="L11" s="24"/>
    </row>
    <row r="12" spans="1:18" s="12" customFormat="1">
      <c r="A12" s="20"/>
      <c r="C12" s="22"/>
      <c r="D12" s="33"/>
      <c r="E12" s="33"/>
      <c r="F12" s="24"/>
      <c r="G12" s="24"/>
      <c r="H12" s="33"/>
      <c r="I12" s="24"/>
      <c r="J12" s="33"/>
      <c r="K12" s="33"/>
      <c r="L12" s="24"/>
    </row>
    <row r="13" spans="1:18" s="12" customFormat="1">
      <c r="A13" s="20"/>
      <c r="C13" s="22"/>
      <c r="D13" s="33"/>
      <c r="E13" s="33"/>
      <c r="F13" s="24"/>
      <c r="G13" s="24"/>
      <c r="H13" s="33"/>
      <c r="I13" s="24"/>
      <c r="J13" s="33"/>
      <c r="K13" s="33"/>
      <c r="L13" s="24"/>
    </row>
    <row r="14" spans="1:18" ht="11.25" thickBot="1">
      <c r="B14" s="12"/>
      <c r="D14" s="35"/>
      <c r="E14" s="35"/>
      <c r="H14" s="35"/>
      <c r="J14" s="35"/>
      <c r="K14" s="35"/>
    </row>
    <row r="16" spans="1:18" s="21" customFormat="1" ht="11.25" thickBot="1">
      <c r="A16" s="1"/>
      <c r="C16" s="12" t="s">
        <v>25</v>
      </c>
      <c r="D16" s="34">
        <f>SUM(D7:D15)</f>
        <v>100000000</v>
      </c>
      <c r="E16" s="34">
        <f>SUM(E7:E14)</f>
        <v>100000000</v>
      </c>
      <c r="F16" s="3"/>
      <c r="G16" s="3"/>
      <c r="H16" s="34">
        <f>SUM(H7:H14)</f>
        <v>100000000</v>
      </c>
      <c r="I16" s="29"/>
      <c r="J16" s="34">
        <f>SUM(J7:J14)</f>
        <v>100000000</v>
      </c>
      <c r="K16" s="34">
        <f>SUM(K7:K14)</f>
        <v>0</v>
      </c>
      <c r="L16" s="4"/>
      <c r="M16" s="1"/>
      <c r="N16" s="1"/>
      <c r="O16" s="1"/>
      <c r="P16" s="1"/>
      <c r="Q16" s="1"/>
      <c r="R16" s="1"/>
    </row>
    <row r="17" spans="1:256" s="6" customFormat="1">
      <c r="A17" s="1"/>
      <c r="B17" s="1"/>
      <c r="C17" s="12"/>
      <c r="D17" s="31"/>
      <c r="E17" s="30"/>
      <c r="F17" s="3"/>
      <c r="G17" s="3"/>
      <c r="H17" s="30"/>
      <c r="I17" s="3"/>
      <c r="J17" s="30"/>
      <c r="K17" s="30"/>
      <c r="L17" s="1"/>
      <c r="M17" s="1"/>
      <c r="N17" s="1"/>
      <c r="O17" s="1"/>
      <c r="P17" s="1"/>
      <c r="Q17" s="1"/>
      <c r="R17" s="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>
      <c r="C18" s="12" t="s">
        <v>264</v>
      </c>
      <c r="D18" s="30">
        <f>SUM(D16-E16)</f>
        <v>0</v>
      </c>
      <c r="F18" s="3"/>
      <c r="G18" s="3"/>
      <c r="I18" s="3"/>
    </row>
    <row r="19" spans="1:256" s="12" customFormat="1">
      <c r="A19" s="1"/>
      <c r="B19" s="1"/>
      <c r="D19" s="30"/>
      <c r="E19" s="30"/>
      <c r="F19" s="3"/>
      <c r="G19" s="3"/>
      <c r="H19" s="30"/>
      <c r="I19" s="3"/>
      <c r="J19" s="30" t="s">
        <v>28</v>
      </c>
      <c r="K19" s="30"/>
      <c r="L19" s="1"/>
      <c r="M19" s="1"/>
      <c r="N19" s="1"/>
      <c r="O19" s="1"/>
      <c r="P19" s="1"/>
      <c r="Q19" s="1"/>
      <c r="R19" s="1"/>
    </row>
    <row r="20" spans="1:256" s="12" customFormat="1">
      <c r="A20" s="1"/>
      <c r="B20" s="1"/>
      <c r="C20" s="12" t="s">
        <v>37</v>
      </c>
      <c r="D20" s="30">
        <f>C1-E16+K16</f>
        <v>30679358</v>
      </c>
      <c r="E20" s="30"/>
      <c r="F20" s="3"/>
      <c r="G20" s="3"/>
      <c r="H20" s="30"/>
      <c r="I20" s="2"/>
      <c r="J20" s="30"/>
      <c r="K20" s="30"/>
      <c r="L20" s="1"/>
      <c r="M20" s="1"/>
      <c r="N20" s="1"/>
      <c r="O20" s="1"/>
      <c r="P20" s="1"/>
      <c r="Q20" s="1"/>
      <c r="R20" s="1"/>
    </row>
    <row r="22" spans="1:256">
      <c r="C22" s="12"/>
      <c r="E22" s="385"/>
      <c r="F22" s="385"/>
    </row>
    <row r="24" spans="1:256">
      <c r="C24" s="12"/>
      <c r="D24" s="56"/>
    </row>
  </sheetData>
  <mergeCells count="1">
    <mergeCell ref="E22:F22"/>
  </mergeCells>
  <phoneticPr fontId="0" type="noConversion"/>
  <pageMargins left="0.75" right="0.75" top="1" bottom="1" header="0.5" footer="0.5"/>
  <pageSetup scale="92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workbookViewId="0">
      <pane ySplit="8" topLeftCell="A9" activePane="bottomLeft" state="frozen"/>
      <selection activeCell="D20" sqref="D20"/>
      <selection pane="bottomLeft" activeCell="C24" sqref="C24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3" width="17.7109375" style="1" customWidth="1"/>
    <col min="4" max="4" width="14.7109375" style="30" customWidth="1"/>
    <col min="5" max="5" width="13.85546875" style="30" customWidth="1"/>
    <col min="6" max="6" width="13.7109375" style="1" customWidth="1"/>
    <col min="7" max="7" width="11.140625" style="1" customWidth="1"/>
    <col min="8" max="8" width="14.42578125" style="30" customWidth="1"/>
    <col min="9" max="9" width="10.140625" style="1" bestFit="1" customWidth="1"/>
    <col min="10" max="10" width="12.85546875" style="30" bestFit="1" customWidth="1"/>
    <col min="11" max="11" width="12.28515625" style="30" bestFit="1" customWidth="1"/>
    <col min="12" max="16384" width="10.85546875" style="1"/>
  </cols>
  <sheetData>
    <row r="1" spans="1:18" s="6" customFormat="1">
      <c r="A1" s="53" t="s">
        <v>158</v>
      </c>
      <c r="B1" s="27"/>
      <c r="C1" s="7">
        <v>75140631</v>
      </c>
      <c r="D1" s="36"/>
      <c r="E1" s="36"/>
      <c r="F1" s="9"/>
      <c r="G1" s="100" t="s">
        <v>76</v>
      </c>
      <c r="H1" s="8">
        <f>C1-H2</f>
        <v>50093754</v>
      </c>
      <c r="I1" s="9"/>
      <c r="J1" s="36"/>
      <c r="K1" s="36"/>
      <c r="L1" s="41">
        <f ca="1">'SC1 MRB'!N1</f>
        <v>43335.607293981484</v>
      </c>
      <c r="M1" s="1"/>
      <c r="N1" s="1"/>
      <c r="O1" s="1"/>
      <c r="P1" s="1"/>
      <c r="Q1" s="1"/>
      <c r="R1" s="1"/>
    </row>
    <row r="2" spans="1:18" s="21" customFormat="1">
      <c r="A2" s="54" t="s">
        <v>241</v>
      </c>
      <c r="B2" s="20"/>
      <c r="C2" s="22"/>
      <c r="D2" s="34"/>
      <c r="E2" s="34"/>
      <c r="F2" s="23"/>
      <c r="G2" s="103" t="s">
        <v>240</v>
      </c>
      <c r="H2" s="25">
        <f>SUM(C1/3*1)</f>
        <v>25046877</v>
      </c>
      <c r="I2" s="23" t="s">
        <v>101</v>
      </c>
      <c r="J2" s="34"/>
      <c r="K2" s="34"/>
      <c r="L2" s="42"/>
      <c r="M2" s="1"/>
      <c r="N2" s="1"/>
      <c r="O2" s="1"/>
      <c r="P2" s="1"/>
      <c r="Q2" s="1"/>
      <c r="R2" s="1"/>
    </row>
    <row r="3" spans="1:18" s="21" customFormat="1">
      <c r="A3" s="54"/>
      <c r="B3" s="20"/>
      <c r="C3" s="22"/>
      <c r="D3" s="34"/>
      <c r="E3" s="34"/>
      <c r="F3" s="23"/>
      <c r="G3" s="23"/>
      <c r="H3" s="34"/>
      <c r="I3" s="23"/>
      <c r="J3" s="34"/>
      <c r="K3" s="34"/>
      <c r="L3" s="42"/>
      <c r="M3" s="1"/>
      <c r="N3" s="1"/>
      <c r="O3" s="1"/>
      <c r="P3" s="1"/>
      <c r="Q3" s="1"/>
      <c r="R3" s="1"/>
    </row>
    <row r="4" spans="1:18" s="21" customFormat="1">
      <c r="A4" s="54"/>
      <c r="B4" s="20"/>
      <c r="C4" s="22"/>
      <c r="D4" s="34"/>
      <c r="E4" s="34"/>
      <c r="F4" s="23"/>
      <c r="G4" s="23"/>
      <c r="H4" s="34"/>
      <c r="I4" s="23"/>
      <c r="J4" s="34"/>
      <c r="K4" s="34"/>
      <c r="L4" s="42"/>
      <c r="M4" s="1"/>
      <c r="N4" s="1"/>
      <c r="O4" s="1"/>
      <c r="P4" s="1"/>
      <c r="Q4" s="1"/>
      <c r="R4" s="1"/>
    </row>
    <row r="5" spans="1:18" s="21" customFormat="1">
      <c r="B5" s="20"/>
      <c r="C5" s="22"/>
      <c r="D5" s="34"/>
      <c r="E5" s="34"/>
      <c r="F5" s="23"/>
      <c r="G5" s="23"/>
      <c r="H5" s="34"/>
      <c r="I5" s="23"/>
      <c r="J5" s="34"/>
      <c r="K5" s="34"/>
      <c r="L5" s="42"/>
      <c r="M5" s="1"/>
      <c r="N5" s="1"/>
      <c r="O5" s="1"/>
      <c r="P5" s="1"/>
      <c r="Q5" s="1"/>
      <c r="R5" s="1"/>
    </row>
    <row r="6" spans="1:18" s="12" customFormat="1">
      <c r="A6" s="45" t="s">
        <v>215</v>
      </c>
      <c r="B6" s="20" t="s">
        <v>242</v>
      </c>
      <c r="C6" s="20" t="s">
        <v>197</v>
      </c>
      <c r="D6" s="33" t="s">
        <v>151</v>
      </c>
      <c r="E6" s="33" t="s">
        <v>30</v>
      </c>
      <c r="F6" s="24" t="s">
        <v>74</v>
      </c>
      <c r="G6" s="24" t="s">
        <v>218</v>
      </c>
      <c r="H6" s="33" t="s">
        <v>19</v>
      </c>
      <c r="I6" s="24" t="s">
        <v>252</v>
      </c>
      <c r="J6" s="33" t="s">
        <v>168</v>
      </c>
      <c r="K6" s="33" t="s">
        <v>267</v>
      </c>
      <c r="L6" s="42" t="s">
        <v>148</v>
      </c>
      <c r="M6" s="1"/>
      <c r="N6" s="1"/>
      <c r="O6" s="1"/>
      <c r="P6" s="1"/>
      <c r="Q6" s="1"/>
      <c r="R6" s="1"/>
    </row>
    <row r="7" spans="1:18" s="12" customFormat="1">
      <c r="A7" s="45" t="s">
        <v>281</v>
      </c>
      <c r="B7" s="21"/>
      <c r="C7" s="22" t="s">
        <v>282</v>
      </c>
      <c r="D7" s="33" t="s">
        <v>259</v>
      </c>
      <c r="E7" s="33" t="s">
        <v>259</v>
      </c>
      <c r="F7" s="24" t="s">
        <v>34</v>
      </c>
      <c r="G7" s="24" t="s">
        <v>102</v>
      </c>
      <c r="H7" s="33" t="s">
        <v>259</v>
      </c>
      <c r="I7" s="24" t="s">
        <v>102</v>
      </c>
      <c r="J7" s="33" t="s">
        <v>259</v>
      </c>
      <c r="K7" s="33" t="s">
        <v>259</v>
      </c>
      <c r="L7" s="42" t="s">
        <v>21</v>
      </c>
      <c r="M7" s="1"/>
      <c r="N7" s="1"/>
      <c r="O7" s="1"/>
      <c r="P7" s="1"/>
      <c r="Q7" s="1"/>
      <c r="R7" s="1"/>
    </row>
    <row r="8" spans="1:18" s="15" customFormat="1" ht="11.25" thickBot="1">
      <c r="A8" s="46" t="s">
        <v>95</v>
      </c>
      <c r="B8" s="16"/>
      <c r="C8" s="17" t="s">
        <v>268</v>
      </c>
      <c r="D8" s="32"/>
      <c r="E8" s="32"/>
      <c r="F8" s="18"/>
      <c r="G8" s="18"/>
      <c r="H8" s="32"/>
      <c r="I8" s="18"/>
      <c r="J8" s="32"/>
      <c r="K8" s="32"/>
      <c r="L8" s="47" t="s">
        <v>34</v>
      </c>
      <c r="M8" s="1"/>
      <c r="N8" s="1"/>
      <c r="O8" s="1"/>
      <c r="P8" s="1"/>
      <c r="Q8" s="1"/>
      <c r="R8" s="1"/>
    </row>
    <row r="9" spans="1:18">
      <c r="A9" s="12"/>
      <c r="B9" s="12"/>
      <c r="D9" s="1"/>
      <c r="E9" s="12"/>
      <c r="G9" s="12"/>
    </row>
    <row r="10" spans="1:18" s="152" customFormat="1" ht="12">
      <c r="A10" s="142">
        <v>2646</v>
      </c>
      <c r="B10" s="1" t="s">
        <v>633</v>
      </c>
      <c r="C10" s="152" t="s">
        <v>308</v>
      </c>
      <c r="D10" s="153">
        <v>700000</v>
      </c>
      <c r="E10" s="30">
        <v>700000</v>
      </c>
      <c r="F10" s="154">
        <v>36161</v>
      </c>
      <c r="G10" s="154">
        <f>F10+35</f>
        <v>36196</v>
      </c>
      <c r="H10" s="237">
        <v>700000</v>
      </c>
      <c r="I10" s="154">
        <f>F10+120</f>
        <v>36281</v>
      </c>
      <c r="J10" s="163">
        <v>700000</v>
      </c>
      <c r="K10" s="163">
        <v>0</v>
      </c>
      <c r="L10" s="154">
        <v>36253</v>
      </c>
    </row>
    <row r="11" spans="1:18" customFormat="1" ht="12">
      <c r="B11" s="1"/>
      <c r="C11" s="142" t="s">
        <v>309</v>
      </c>
      <c r="E11" s="112"/>
    </row>
    <row r="12" spans="1:18" customFormat="1" ht="12">
      <c r="B12" s="1"/>
      <c r="E12" s="112"/>
    </row>
    <row r="13" spans="1:18" s="152" customFormat="1" ht="12">
      <c r="A13" s="142">
        <v>2674</v>
      </c>
      <c r="B13" s="1" t="s">
        <v>627</v>
      </c>
      <c r="C13" s="152" t="s">
        <v>306</v>
      </c>
      <c r="D13" s="153">
        <v>9750000</v>
      </c>
      <c r="E13" s="30">
        <v>9750000</v>
      </c>
      <c r="F13" s="154">
        <v>36175</v>
      </c>
      <c r="G13" s="154">
        <f>F13+35</f>
        <v>36210</v>
      </c>
      <c r="H13" s="163">
        <v>9750000</v>
      </c>
      <c r="I13" s="154">
        <f>F13+120</f>
        <v>36295</v>
      </c>
      <c r="K13" s="163">
        <v>9750000</v>
      </c>
      <c r="L13" s="154">
        <v>36306</v>
      </c>
    </row>
    <row r="14" spans="1:18" s="12" customFormat="1" ht="12">
      <c r="C14" s="142" t="s">
        <v>307</v>
      </c>
      <c r="D14" s="31"/>
      <c r="E14" s="31"/>
      <c r="H14" s="31"/>
      <c r="J14" s="31"/>
      <c r="K14" s="31"/>
    </row>
    <row r="15" spans="1:18" s="12" customFormat="1" ht="12">
      <c r="C15" s="142"/>
      <c r="D15" s="31"/>
      <c r="E15" s="31"/>
      <c r="H15" s="31"/>
      <c r="J15" s="31"/>
      <c r="K15" s="31"/>
    </row>
    <row r="16" spans="1:18" ht="12">
      <c r="A16" s="1">
        <v>2734</v>
      </c>
      <c r="B16" s="1" t="s">
        <v>627</v>
      </c>
      <c r="C16" s="152" t="s">
        <v>683</v>
      </c>
      <c r="D16" s="30">
        <v>7000000</v>
      </c>
      <c r="E16" s="30">
        <v>7000000</v>
      </c>
      <c r="F16" s="3">
        <v>36340</v>
      </c>
      <c r="G16" s="154">
        <f>F16+35</f>
        <v>36375</v>
      </c>
      <c r="H16" s="30">
        <v>7000000</v>
      </c>
      <c r="I16" s="154">
        <f>F16+120</f>
        <v>36460</v>
      </c>
      <c r="K16" s="30">
        <v>7000000</v>
      </c>
      <c r="L16" s="3">
        <v>36468</v>
      </c>
    </row>
    <row r="17" spans="1:15">
      <c r="C17" s="39" t="s">
        <v>684</v>
      </c>
      <c r="D17" s="1"/>
      <c r="E17" s="1"/>
    </row>
    <row r="18" spans="1:15" s="12" customFormat="1">
      <c r="H18" s="31"/>
      <c r="J18" s="31"/>
      <c r="K18" s="31"/>
    </row>
    <row r="19" spans="1:15" ht="12">
      <c r="A19" s="1">
        <v>2743</v>
      </c>
      <c r="B19" s="1" t="s">
        <v>633</v>
      </c>
      <c r="C19" s="39" t="s">
        <v>688</v>
      </c>
      <c r="D19" s="136">
        <v>3000000</v>
      </c>
      <c r="E19" s="136">
        <v>3000000</v>
      </c>
      <c r="F19" s="3">
        <v>36377</v>
      </c>
      <c r="G19" s="154">
        <f>F19+35</f>
        <v>36412</v>
      </c>
      <c r="H19" s="30">
        <v>3000000</v>
      </c>
      <c r="I19" s="154">
        <f>F19+120</f>
        <v>36497</v>
      </c>
      <c r="J19" s="30">
        <v>3000000</v>
      </c>
      <c r="K19" s="30">
        <v>0</v>
      </c>
      <c r="L19" s="3">
        <v>36494</v>
      </c>
    </row>
    <row r="20" spans="1:15" s="12" customFormat="1">
      <c r="C20" s="39" t="s">
        <v>689</v>
      </c>
      <c r="H20" s="31"/>
      <c r="J20" s="31"/>
      <c r="K20" s="31"/>
    </row>
    <row r="21" spans="1:15" s="12" customFormat="1">
      <c r="H21" s="31"/>
      <c r="J21" s="31"/>
      <c r="K21" s="31"/>
    </row>
    <row r="22" spans="1:15" s="12" customFormat="1">
      <c r="H22" s="31"/>
      <c r="J22" s="31"/>
      <c r="K22" s="31"/>
    </row>
    <row r="23" spans="1:15" ht="12">
      <c r="A23" s="1">
        <v>2746</v>
      </c>
      <c r="B23" s="1" t="s">
        <v>627</v>
      </c>
      <c r="C23" s="1" t="s">
        <v>692</v>
      </c>
      <c r="D23" s="136">
        <v>5000000</v>
      </c>
      <c r="E23" s="136">
        <v>5000000</v>
      </c>
      <c r="F23" s="3">
        <v>36384</v>
      </c>
      <c r="G23" s="154">
        <f>F23+35</f>
        <v>36419</v>
      </c>
      <c r="H23" s="30">
        <v>5000000</v>
      </c>
      <c r="I23" s="154">
        <f>F23+120</f>
        <v>36504</v>
      </c>
      <c r="K23" s="30">
        <v>5000000</v>
      </c>
      <c r="L23" s="3">
        <v>36515</v>
      </c>
    </row>
    <row r="24" spans="1:15" s="12" customFormat="1">
      <c r="C24" s="1" t="s">
        <v>693</v>
      </c>
      <c r="H24" s="31"/>
      <c r="J24" s="31"/>
      <c r="K24" s="31"/>
    </row>
    <row r="25" spans="1:15">
      <c r="A25" s="12"/>
      <c r="B25" s="12"/>
      <c r="D25" s="1"/>
      <c r="E25" s="12"/>
      <c r="G25" s="12"/>
    </row>
    <row r="26" spans="1:15">
      <c r="A26" s="12"/>
      <c r="B26" s="12"/>
      <c r="D26" s="1"/>
      <c r="E26" s="12"/>
      <c r="G26" s="12"/>
    </row>
    <row r="27" spans="1:15" s="26" customFormat="1" ht="11.25" thickBot="1">
      <c r="A27" s="20"/>
      <c r="B27" s="21"/>
      <c r="C27" s="49"/>
      <c r="D27" s="35"/>
      <c r="E27" s="16"/>
      <c r="F27" s="24"/>
      <c r="G27" s="24"/>
      <c r="H27" s="35"/>
      <c r="I27" s="24"/>
      <c r="J27" s="35"/>
      <c r="K27" s="16"/>
      <c r="L27" s="24"/>
      <c r="M27" s="5"/>
      <c r="N27" s="5"/>
      <c r="O27" s="5"/>
    </row>
    <row r="28" spans="1:15" s="26" customFormat="1">
      <c r="A28" s="20"/>
      <c r="B28" s="21"/>
      <c r="C28" s="49"/>
      <c r="D28" s="34"/>
      <c r="E28" s="21"/>
      <c r="F28" s="24"/>
      <c r="G28" s="24"/>
      <c r="H28" s="34"/>
      <c r="I28" s="24"/>
      <c r="J28" s="34"/>
      <c r="K28" s="21"/>
      <c r="L28" s="24"/>
      <c r="M28" s="5"/>
      <c r="N28" s="5"/>
      <c r="O28" s="5"/>
    </row>
    <row r="29" spans="1:15">
      <c r="B29" s="21"/>
      <c r="C29" s="12" t="s">
        <v>25</v>
      </c>
      <c r="D29" s="34">
        <f>SUM(D9:D27)</f>
        <v>25450000</v>
      </c>
      <c r="E29" s="30">
        <f>SUM(E9:E27)</f>
        <v>25450000</v>
      </c>
      <c r="F29" s="3"/>
      <c r="G29" s="3"/>
      <c r="H29" s="34">
        <f>SUM(H9:H27)</f>
        <v>25450000</v>
      </c>
      <c r="I29" s="29"/>
      <c r="J29" s="34">
        <f>SUM(J9:J27)</f>
        <v>3700000</v>
      </c>
      <c r="K29" s="34">
        <f>SUM(K9:K27)</f>
        <v>21750000</v>
      </c>
      <c r="L29" s="4"/>
    </row>
    <row r="30" spans="1:15">
      <c r="B30" s="21"/>
      <c r="C30" s="12"/>
      <c r="D30" s="34"/>
      <c r="F30" s="3"/>
      <c r="G30" s="3"/>
      <c r="H30" s="34"/>
      <c r="I30" s="29"/>
      <c r="J30" s="34"/>
      <c r="K30" s="34"/>
      <c r="L30" s="4"/>
    </row>
    <row r="31" spans="1:15">
      <c r="C31" s="12" t="s">
        <v>264</v>
      </c>
      <c r="D31" s="30">
        <f>SUM(D29-E29)</f>
        <v>0</v>
      </c>
      <c r="F31" s="3"/>
      <c r="G31" s="3"/>
      <c r="I31" s="3"/>
    </row>
    <row r="32" spans="1:15">
      <c r="C32" s="12"/>
      <c r="F32" s="3"/>
      <c r="G32" s="3"/>
      <c r="I32" s="3"/>
    </row>
    <row r="33" spans="1:18" s="12" customFormat="1">
      <c r="A33" s="1"/>
      <c r="B33" s="1"/>
      <c r="C33" s="12" t="s">
        <v>37</v>
      </c>
      <c r="D33" s="30">
        <f>+C1-E29+K29</f>
        <v>71440631</v>
      </c>
      <c r="E33" s="30"/>
      <c r="F33" s="3"/>
      <c r="G33" s="3"/>
      <c r="H33" s="30"/>
      <c r="I33" s="2"/>
      <c r="J33" s="30"/>
      <c r="K33" s="30"/>
      <c r="L33" s="1"/>
      <c r="M33" s="1"/>
      <c r="N33" s="1"/>
      <c r="O33" s="1"/>
      <c r="P33" s="1"/>
      <c r="Q33" s="1"/>
      <c r="R33" s="1"/>
    </row>
    <row r="34" spans="1:18">
      <c r="A34" s="39"/>
      <c r="F34" s="3"/>
      <c r="G34" s="3"/>
      <c r="I34" s="3"/>
      <c r="L34" s="4"/>
      <c r="M34" s="20"/>
      <c r="N34" s="20"/>
      <c r="O34" s="20"/>
      <c r="P34" s="20"/>
      <c r="Q34" s="20"/>
      <c r="R34" s="20"/>
    </row>
    <row r="35" spans="1:18">
      <c r="C35" s="12"/>
      <c r="E35" s="385"/>
      <c r="F35" s="385"/>
    </row>
    <row r="37" spans="1:18">
      <c r="C37" s="12"/>
      <c r="D37" s="56"/>
    </row>
  </sheetData>
  <mergeCells count="1">
    <mergeCell ref="E35:F35"/>
  </mergeCells>
  <phoneticPr fontId="0" type="noConversion"/>
  <pageMargins left="0.75" right="0.75" top="1" bottom="1" header="0.5" footer="0.5"/>
  <pageSetup scale="91" fitToHeight="0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0"/>
  <sheetViews>
    <sheetView topLeftCell="B1" workbookViewId="0">
      <pane xSplit="2" ySplit="6" topLeftCell="D535" activePane="bottomRight" state="frozen"/>
      <selection activeCell="B1" sqref="B1"/>
      <selection pane="topRight" activeCell="D1" sqref="D1"/>
      <selection pane="bottomLeft" activeCell="B7" sqref="B7"/>
      <selection pane="bottomRight" activeCell="D556" sqref="D556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3" width="17.7109375" style="1" customWidth="1"/>
    <col min="4" max="4" width="15.42578125" style="61" customWidth="1"/>
    <col min="5" max="5" width="17.140625" style="56" customWidth="1"/>
    <col min="6" max="6" width="13.7109375" style="1" customWidth="1"/>
    <col min="7" max="7" width="11.140625" style="1" customWidth="1"/>
    <col min="8" max="8" width="15.42578125" style="56" customWidth="1"/>
    <col min="9" max="9" width="9.140625" style="1" customWidth="1"/>
    <col min="10" max="10" width="14.140625" style="61" customWidth="1"/>
    <col min="11" max="11" width="13.7109375" style="61" customWidth="1"/>
    <col min="12" max="12" width="10.85546875" style="1" customWidth="1"/>
    <col min="13" max="15" width="13.7109375" style="1" bestFit="1" customWidth="1"/>
    <col min="16" max="16" width="13.7109375" style="21" bestFit="1" customWidth="1"/>
    <col min="17" max="28" width="10.85546875" style="21" customWidth="1"/>
    <col min="29" max="16384" width="10.85546875" style="1"/>
  </cols>
  <sheetData>
    <row r="1" spans="1:28" s="6" customFormat="1">
      <c r="A1" s="53" t="s">
        <v>43</v>
      </c>
      <c r="B1" s="27"/>
      <c r="C1" s="7">
        <v>215034394</v>
      </c>
      <c r="D1" s="62"/>
      <c r="E1" s="88">
        <v>159417277.5</v>
      </c>
      <c r="F1" s="9"/>
      <c r="G1" s="9"/>
      <c r="H1" s="68"/>
      <c r="I1" s="9"/>
      <c r="J1" s="62"/>
      <c r="K1" s="62"/>
      <c r="L1" s="41">
        <v>35651</v>
      </c>
      <c r="M1" s="20"/>
      <c r="N1" s="20"/>
      <c r="O1" s="20"/>
      <c r="P1" s="20"/>
      <c r="Q1" s="20"/>
      <c r="R1" s="20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s="21" customFormat="1">
      <c r="A2" s="54" t="s">
        <v>7</v>
      </c>
      <c r="B2" s="20"/>
      <c r="C2" s="22"/>
      <c r="D2" s="67"/>
      <c r="E2" s="57"/>
      <c r="F2" s="23"/>
      <c r="G2" s="23"/>
      <c r="H2" s="57"/>
      <c r="I2" s="23"/>
      <c r="J2" s="65"/>
      <c r="K2" s="65"/>
      <c r="L2" s="42"/>
      <c r="M2" s="20"/>
      <c r="N2" s="20"/>
      <c r="O2" s="20"/>
      <c r="P2" s="20"/>
      <c r="Q2" s="20"/>
      <c r="R2" s="20"/>
    </row>
    <row r="3" spans="1:28">
      <c r="A3" s="45"/>
      <c r="B3" s="21"/>
      <c r="C3" s="20"/>
      <c r="D3" s="67"/>
      <c r="E3" s="57"/>
      <c r="F3" s="23"/>
      <c r="G3" s="23"/>
      <c r="H3" s="57"/>
      <c r="I3" s="23"/>
      <c r="J3" s="67"/>
      <c r="K3" s="67"/>
      <c r="L3" s="42"/>
      <c r="M3" s="20"/>
      <c r="N3" s="20"/>
      <c r="O3" s="20"/>
      <c r="P3" s="20"/>
      <c r="Q3" s="20"/>
      <c r="R3" s="20"/>
    </row>
    <row r="4" spans="1:28" s="12" customFormat="1">
      <c r="A4" s="45" t="s">
        <v>215</v>
      </c>
      <c r="B4" s="20" t="s">
        <v>242</v>
      </c>
      <c r="C4" s="20" t="s">
        <v>197</v>
      </c>
      <c r="D4" s="65" t="s">
        <v>151</v>
      </c>
      <c r="E4" s="77" t="s">
        <v>30</v>
      </c>
      <c r="F4" s="24" t="s">
        <v>74</v>
      </c>
      <c r="G4" s="24" t="s">
        <v>218</v>
      </c>
      <c r="H4" s="77" t="s">
        <v>19</v>
      </c>
      <c r="I4" s="24" t="s">
        <v>252</v>
      </c>
      <c r="J4" s="65" t="s">
        <v>168</v>
      </c>
      <c r="K4" s="65" t="s">
        <v>267</v>
      </c>
      <c r="L4" s="42" t="s">
        <v>148</v>
      </c>
      <c r="M4" s="20" t="s">
        <v>255</v>
      </c>
      <c r="N4" s="20" t="s">
        <v>177</v>
      </c>
      <c r="O4" s="12" t="s">
        <v>180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20" customFormat="1">
      <c r="A5" s="45" t="s">
        <v>281</v>
      </c>
      <c r="B5" s="21"/>
      <c r="C5" s="22" t="s">
        <v>282</v>
      </c>
      <c r="D5" s="65" t="s">
        <v>259</v>
      </c>
      <c r="E5" s="77" t="s">
        <v>259</v>
      </c>
      <c r="F5" s="24" t="s">
        <v>34</v>
      </c>
      <c r="G5" s="24" t="s">
        <v>102</v>
      </c>
      <c r="H5" s="77" t="s">
        <v>259</v>
      </c>
      <c r="I5" s="24" t="s">
        <v>102</v>
      </c>
      <c r="J5" s="65" t="s">
        <v>259</v>
      </c>
      <c r="K5" s="65" t="s">
        <v>259</v>
      </c>
      <c r="L5" s="42" t="s">
        <v>21</v>
      </c>
      <c r="M5" s="20" t="s">
        <v>176</v>
      </c>
      <c r="N5" s="20" t="s">
        <v>178</v>
      </c>
      <c r="O5" s="20" t="s">
        <v>179</v>
      </c>
    </row>
    <row r="6" spans="1:28" s="12" customFormat="1" ht="11.25" thickBot="1">
      <c r="A6" s="46" t="s">
        <v>207</v>
      </c>
      <c r="B6" s="15"/>
      <c r="C6" s="15" t="s">
        <v>268</v>
      </c>
      <c r="D6" s="64"/>
      <c r="E6" s="70"/>
      <c r="F6" s="18"/>
      <c r="G6" s="18"/>
      <c r="H6" s="70"/>
      <c r="I6" s="18"/>
      <c r="J6" s="64"/>
      <c r="K6" s="64"/>
      <c r="L6" s="47" t="s">
        <v>34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21" customFormat="1">
      <c r="A7" s="55" t="s">
        <v>119</v>
      </c>
      <c r="B7" s="1"/>
      <c r="C7" s="1"/>
      <c r="D7" s="61"/>
      <c r="E7" s="56"/>
      <c r="F7" s="3"/>
      <c r="G7" s="3"/>
      <c r="H7" s="56"/>
      <c r="I7" s="3"/>
      <c r="J7" s="61"/>
      <c r="K7" s="61"/>
      <c r="L7" s="3"/>
    </row>
    <row r="8" spans="1:28" s="21" customFormat="1">
      <c r="A8" s="55"/>
      <c r="B8" s="1"/>
      <c r="C8" s="1"/>
      <c r="D8" s="61"/>
      <c r="E8" s="56"/>
      <c r="F8" s="3"/>
      <c r="G8" s="3"/>
      <c r="H8" s="56"/>
      <c r="I8" s="3"/>
      <c r="J8" s="61"/>
      <c r="K8" s="61"/>
      <c r="L8" s="3"/>
    </row>
    <row r="9" spans="1:28">
      <c r="A9" s="21" t="s">
        <v>131</v>
      </c>
      <c r="B9" s="1" t="str">
        <f>'SC4 MF- TDHCA'!B9</f>
        <v>CLOSED</v>
      </c>
      <c r="C9" s="1" t="s">
        <v>38</v>
      </c>
      <c r="D9" s="56">
        <v>15000000</v>
      </c>
      <c r="F9" s="3"/>
      <c r="G9" s="3"/>
      <c r="I9" s="3"/>
      <c r="J9" s="56"/>
      <c r="K9" s="56" t="s">
        <v>28</v>
      </c>
      <c r="L9" s="3">
        <v>35363</v>
      </c>
    </row>
    <row r="10" spans="1:28" ht="12">
      <c r="A10" s="21"/>
      <c r="B10" s="12" t="str">
        <f>'SC4 MF- TDHCA'!B10</f>
        <v>CLOSED</v>
      </c>
      <c r="C10" s="50" t="s">
        <v>214</v>
      </c>
      <c r="D10" s="56"/>
      <c r="F10" s="3"/>
      <c r="J10" s="56"/>
      <c r="K10" s="56"/>
    </row>
    <row r="11" spans="1:28" ht="12">
      <c r="A11" s="21"/>
      <c r="B11" s="12" t="str">
        <f>'SC4 MF- TDHCA'!B11</f>
        <v>WITHDRAWN</v>
      </c>
      <c r="C11" s="50" t="s">
        <v>130</v>
      </c>
      <c r="D11" s="56"/>
      <c r="F11" s="3"/>
      <c r="J11" s="56"/>
      <c r="K11" s="56"/>
    </row>
    <row r="12" spans="1:28" ht="12">
      <c r="A12" s="21"/>
      <c r="B12" s="12" t="str">
        <f>'SC4 MF- TDHCA'!B12</f>
        <v>WITHDRAWN</v>
      </c>
      <c r="C12" s="50"/>
      <c r="D12" s="56"/>
      <c r="F12" s="3"/>
      <c r="J12" s="56"/>
      <c r="K12" s="56"/>
    </row>
    <row r="13" spans="1:28" ht="12">
      <c r="A13" s="21">
        <v>2382</v>
      </c>
      <c r="B13" s="1" t="str">
        <f>'SC4 MF- TDHCA'!B13</f>
        <v>WITHDRAWN</v>
      </c>
      <c r="C13" s="50" t="s">
        <v>27</v>
      </c>
      <c r="D13" s="56">
        <v>4510000</v>
      </c>
      <c r="E13" s="56">
        <v>4510000</v>
      </c>
      <c r="F13" s="3">
        <v>35431</v>
      </c>
      <c r="G13" s="3">
        <f>+F13+35</f>
        <v>35466</v>
      </c>
      <c r="H13" s="56">
        <v>4510000</v>
      </c>
      <c r="I13" s="3">
        <f>+F13+120</f>
        <v>35551</v>
      </c>
      <c r="J13" s="56" t="s">
        <v>28</v>
      </c>
      <c r="K13" s="56">
        <v>4510000</v>
      </c>
      <c r="L13" s="3">
        <v>35537</v>
      </c>
    </row>
    <row r="14" spans="1:28" ht="12">
      <c r="A14" s="21"/>
      <c r="B14" s="12" t="str">
        <f>'SC4 MF- TDHCA'!B14</f>
        <v>WITHDRAWN</v>
      </c>
      <c r="C14" s="50" t="s">
        <v>79</v>
      </c>
      <c r="D14" s="56"/>
      <c r="E14" s="69"/>
      <c r="F14" s="3"/>
      <c r="G14" s="12"/>
      <c r="J14" s="56"/>
      <c r="K14" s="56"/>
    </row>
    <row r="15" spans="1:28" ht="12">
      <c r="A15" s="21"/>
      <c r="B15" s="12" t="str">
        <f>'SC4 MF- TDHCA'!B15</f>
        <v>WITHDRAWN</v>
      </c>
      <c r="C15" s="50" t="s">
        <v>96</v>
      </c>
      <c r="D15" s="56"/>
      <c r="E15" s="69"/>
      <c r="F15" s="3"/>
      <c r="G15" s="12"/>
      <c r="J15" s="56"/>
      <c r="K15" s="56"/>
    </row>
    <row r="16" spans="1:28" ht="12">
      <c r="A16" s="21"/>
      <c r="B16" s="12" t="str">
        <f>'SC4 MF- TDHCA'!B16</f>
        <v>CLOSED</v>
      </c>
      <c r="C16" s="50"/>
      <c r="D16" s="56"/>
      <c r="E16" s="69"/>
      <c r="F16" s="3"/>
      <c r="G16" s="12"/>
      <c r="J16" s="56"/>
      <c r="K16" s="56"/>
    </row>
    <row r="17" spans="1:12" ht="12">
      <c r="A17" s="21">
        <v>11</v>
      </c>
      <c r="B17" s="1" t="str">
        <f>'SC4 MF- TDHCA'!B17</f>
        <v>WITHDRAWN</v>
      </c>
      <c r="C17" s="50" t="s">
        <v>230</v>
      </c>
      <c r="D17" s="56">
        <v>15000000</v>
      </c>
      <c r="E17" s="56" t="s">
        <v>28</v>
      </c>
      <c r="F17" s="3" t="s">
        <v>28</v>
      </c>
      <c r="G17" s="3" t="s">
        <v>28</v>
      </c>
      <c r="H17" s="56" t="s">
        <v>28</v>
      </c>
      <c r="I17" s="3" t="s">
        <v>28</v>
      </c>
      <c r="J17" s="56" t="s">
        <v>28</v>
      </c>
      <c r="K17" s="56" t="s">
        <v>28</v>
      </c>
      <c r="L17" s="3">
        <v>35438</v>
      </c>
    </row>
    <row r="18" spans="1:12" ht="12">
      <c r="A18" s="21"/>
      <c r="B18" s="1" t="str">
        <f>'SC4 MF- TDHCA'!B18</f>
        <v>WITHDRAWN</v>
      </c>
      <c r="C18" s="50" t="s">
        <v>227</v>
      </c>
      <c r="D18" s="56"/>
      <c r="E18" s="69"/>
      <c r="F18" s="3"/>
      <c r="G18" s="3"/>
      <c r="I18" s="3"/>
      <c r="J18" s="56"/>
      <c r="K18" s="56"/>
      <c r="L18" s="3"/>
    </row>
    <row r="19" spans="1:12" ht="12">
      <c r="A19" s="21"/>
      <c r="B19" s="1" t="str">
        <f>'SC4 MF- TDHCA'!B19</f>
        <v>WITHDRAWN</v>
      </c>
      <c r="C19" s="50" t="s">
        <v>33</v>
      </c>
      <c r="D19" s="56"/>
      <c r="E19" s="69"/>
      <c r="F19" s="3"/>
      <c r="G19" s="3"/>
      <c r="I19" s="3"/>
      <c r="J19" s="56"/>
      <c r="K19" s="56"/>
      <c r="L19" s="3"/>
    </row>
    <row r="20" spans="1:12" ht="12">
      <c r="A20" s="21"/>
      <c r="B20" s="1" t="str">
        <f>'SC4 MF- TDHCA'!B20</f>
        <v>WITHDRAWN</v>
      </c>
      <c r="C20" s="50"/>
      <c r="D20" s="56"/>
      <c r="E20" s="69"/>
      <c r="F20" s="3"/>
      <c r="G20" s="3"/>
      <c r="I20" s="3"/>
      <c r="J20" s="56"/>
      <c r="K20" s="56"/>
      <c r="L20" s="3"/>
    </row>
    <row r="21" spans="1:12" ht="12">
      <c r="A21" s="21">
        <v>2415</v>
      </c>
      <c r="B21" s="1" t="str">
        <f>'SC4 MF- TDHCA'!B21</f>
        <v>CLOSED</v>
      </c>
      <c r="C21" s="50" t="s">
        <v>265</v>
      </c>
      <c r="D21" s="56">
        <v>7200000</v>
      </c>
      <c r="E21" s="56">
        <v>7200000</v>
      </c>
      <c r="F21" s="3">
        <v>35445</v>
      </c>
      <c r="G21" s="3">
        <f>+F21+35</f>
        <v>35480</v>
      </c>
      <c r="H21" s="56">
        <v>7200000</v>
      </c>
      <c r="I21" s="3">
        <f>+F21+120</f>
        <v>35565</v>
      </c>
      <c r="J21" s="56">
        <v>7200000</v>
      </c>
      <c r="K21" s="56">
        <v>0</v>
      </c>
      <c r="L21" s="3">
        <v>35570</v>
      </c>
    </row>
    <row r="22" spans="1:12" ht="12">
      <c r="A22" s="20"/>
      <c r="B22" s="1" t="str">
        <f>'SC4 MF- TDHCA'!B22</f>
        <v>WITHDRAWN</v>
      </c>
      <c r="C22" s="50" t="s">
        <v>254</v>
      </c>
      <c r="D22" s="56"/>
      <c r="E22" s="69" t="s">
        <v>28</v>
      </c>
      <c r="F22" s="1" t="s">
        <v>28</v>
      </c>
      <c r="G22" s="12" t="s">
        <v>28</v>
      </c>
      <c r="H22" s="56" t="s">
        <v>28</v>
      </c>
      <c r="I22" s="1" t="s">
        <v>28</v>
      </c>
      <c r="J22" s="56" t="s">
        <v>8</v>
      </c>
      <c r="K22" s="61" t="s">
        <v>28</v>
      </c>
      <c r="L22" s="1" t="s">
        <v>28</v>
      </c>
    </row>
    <row r="23" spans="1:12" ht="12">
      <c r="A23" s="20"/>
      <c r="B23" s="1" t="e">
        <f>#REF!</f>
        <v>#REF!</v>
      </c>
      <c r="C23" s="50" t="s">
        <v>232</v>
      </c>
      <c r="D23" s="56"/>
      <c r="E23" s="69"/>
      <c r="G23" s="12"/>
      <c r="J23" s="56"/>
    </row>
    <row r="24" spans="1:12" ht="12">
      <c r="A24" s="20"/>
      <c r="B24" s="1" t="str">
        <f>'SC4 MF- TDHCA'!B24</f>
        <v>CLOSED</v>
      </c>
      <c r="C24" s="50"/>
      <c r="D24" s="56"/>
      <c r="E24" s="69"/>
      <c r="F24" s="1" t="s">
        <v>28</v>
      </c>
      <c r="G24" s="12" t="s">
        <v>28</v>
      </c>
      <c r="H24" s="56" t="s">
        <v>28</v>
      </c>
      <c r="I24" s="1" t="s">
        <v>28</v>
      </c>
      <c r="J24" s="56"/>
      <c r="K24" s="61" t="s">
        <v>28</v>
      </c>
      <c r="L24" s="1" t="s">
        <v>28</v>
      </c>
    </row>
    <row r="25" spans="1:12" ht="12">
      <c r="A25" s="21">
        <v>2416</v>
      </c>
      <c r="B25" s="1" t="str">
        <f>'SC4 MF- TDHCA'!B25</f>
        <v>CLOSED</v>
      </c>
      <c r="C25" s="50" t="s">
        <v>172</v>
      </c>
      <c r="D25" s="56">
        <v>13400000</v>
      </c>
      <c r="E25" s="56">
        <v>13400000</v>
      </c>
      <c r="F25" s="3">
        <v>35445</v>
      </c>
      <c r="G25" s="3">
        <f>+F25+35</f>
        <v>35480</v>
      </c>
      <c r="H25" s="56">
        <v>13400000</v>
      </c>
      <c r="I25" s="3">
        <f>+F25+120</f>
        <v>35565</v>
      </c>
      <c r="J25" s="56">
        <v>12400000</v>
      </c>
      <c r="K25" s="56">
        <v>1000000</v>
      </c>
      <c r="L25" s="3">
        <v>35560</v>
      </c>
    </row>
    <row r="26" spans="1:12" ht="12">
      <c r="A26" s="20"/>
      <c r="B26" s="1" t="str">
        <f>'SC4 MF- TDHCA'!B26</f>
        <v>WITHDRAWN</v>
      </c>
      <c r="C26" s="50" t="s">
        <v>195</v>
      </c>
      <c r="D26" s="56"/>
      <c r="E26" s="69" t="s">
        <v>28</v>
      </c>
      <c r="F26" s="3" t="s">
        <v>28</v>
      </c>
      <c r="G26" s="3" t="s">
        <v>28</v>
      </c>
      <c r="H26" s="56" t="s">
        <v>28</v>
      </c>
      <c r="I26" s="3" t="s">
        <v>28</v>
      </c>
      <c r="J26" s="56" t="s">
        <v>28</v>
      </c>
      <c r="K26" s="56" t="s">
        <v>28</v>
      </c>
      <c r="L26" s="3" t="s">
        <v>28</v>
      </c>
    </row>
    <row r="27" spans="1:12" ht="12">
      <c r="A27" s="20"/>
      <c r="B27" s="1" t="str">
        <f>'SC4 MF- TDHCA'!B27</f>
        <v>WITHDRAWN</v>
      </c>
      <c r="C27" s="50" t="s">
        <v>20</v>
      </c>
      <c r="D27" s="56"/>
      <c r="E27" s="69"/>
      <c r="F27" s="3"/>
      <c r="G27" s="3"/>
      <c r="I27" s="3"/>
      <c r="J27" s="56"/>
      <c r="K27" s="56"/>
      <c r="L27" s="3"/>
    </row>
    <row r="28" spans="1:12" ht="12">
      <c r="A28" s="20"/>
      <c r="B28" s="1" t="str">
        <f>'SC4 MF- TDHCA'!B28</f>
        <v>CLOSED</v>
      </c>
      <c r="C28" s="50"/>
      <c r="D28" s="56"/>
      <c r="E28" s="69" t="s">
        <v>28</v>
      </c>
      <c r="F28" s="3" t="s">
        <v>28</v>
      </c>
      <c r="G28" s="3" t="s">
        <v>28</v>
      </c>
      <c r="H28" s="56" t="s">
        <v>28</v>
      </c>
      <c r="I28" s="3" t="s">
        <v>28</v>
      </c>
      <c r="J28" s="56" t="s">
        <v>28</v>
      </c>
      <c r="K28" s="56" t="s">
        <v>28</v>
      </c>
      <c r="L28" s="3" t="s">
        <v>28</v>
      </c>
    </row>
    <row r="29" spans="1:12" ht="12">
      <c r="A29" s="21">
        <v>2383</v>
      </c>
      <c r="B29" s="1" t="str">
        <f>'SC4 MF- TDHCA'!B29</f>
        <v>WITHDRAWN</v>
      </c>
      <c r="C29" s="50" t="s">
        <v>65</v>
      </c>
      <c r="D29" s="56">
        <v>6425000</v>
      </c>
      <c r="E29" s="56">
        <v>6425000</v>
      </c>
      <c r="F29" s="3">
        <v>35431</v>
      </c>
      <c r="G29" s="3">
        <f>+F29+35</f>
        <v>35466</v>
      </c>
      <c r="H29" s="56">
        <v>6425000</v>
      </c>
      <c r="I29" s="3">
        <f>+F29+120</f>
        <v>35551</v>
      </c>
      <c r="J29" s="56">
        <v>6425000</v>
      </c>
      <c r="K29" s="56">
        <v>0</v>
      </c>
      <c r="L29" s="3">
        <v>35550</v>
      </c>
    </row>
    <row r="30" spans="1:12" ht="12">
      <c r="A30" s="20"/>
      <c r="B30" s="1" t="str">
        <f>'SC4 MF- TDHCA'!B30</f>
        <v>CANCELLED</v>
      </c>
      <c r="C30" s="50" t="s">
        <v>208</v>
      </c>
      <c r="D30" s="56"/>
      <c r="E30" s="69" t="s">
        <v>28</v>
      </c>
      <c r="F30" s="1" t="s">
        <v>28</v>
      </c>
      <c r="G30" s="1" t="s">
        <v>28</v>
      </c>
      <c r="H30" s="56" t="s">
        <v>28</v>
      </c>
      <c r="I30" s="1" t="s">
        <v>28</v>
      </c>
      <c r="J30" s="56" t="s">
        <v>28</v>
      </c>
      <c r="K30" s="56" t="s">
        <v>28</v>
      </c>
      <c r="L30" s="1" t="s">
        <v>28</v>
      </c>
    </row>
    <row r="31" spans="1:12" ht="12">
      <c r="A31" s="20"/>
      <c r="B31" s="1" t="str">
        <f>'SC4 MF- TDHCA'!B31</f>
        <v>WITHDRAWN</v>
      </c>
      <c r="C31" s="50" t="s">
        <v>96</v>
      </c>
      <c r="D31" s="56"/>
      <c r="E31" s="69"/>
      <c r="J31" s="56"/>
      <c r="K31" s="56"/>
    </row>
    <row r="32" spans="1:12" ht="12">
      <c r="A32" s="20"/>
      <c r="B32" s="1" t="str">
        <f>'SC4 MF- TDHCA'!B32</f>
        <v>WITHDRAWN</v>
      </c>
      <c r="C32" s="50"/>
      <c r="D32" s="56"/>
      <c r="E32" s="69" t="s">
        <v>28</v>
      </c>
      <c r="F32" s="1" t="s">
        <v>28</v>
      </c>
      <c r="G32" s="1" t="s">
        <v>28</v>
      </c>
      <c r="H32" s="56" t="s">
        <v>28</v>
      </c>
      <c r="I32" s="1" t="s">
        <v>28</v>
      </c>
      <c r="J32" s="56" t="s">
        <v>28</v>
      </c>
      <c r="K32" s="56" t="s">
        <v>28</v>
      </c>
      <c r="L32" s="1" t="s">
        <v>28</v>
      </c>
    </row>
    <row r="33" spans="1:15" ht="12">
      <c r="A33" s="21">
        <v>22</v>
      </c>
      <c r="B33" s="1" t="str">
        <f>'SC4 MF- TDHCA'!B33</f>
        <v>WITHDRAWN</v>
      </c>
      <c r="C33" s="50" t="s">
        <v>16</v>
      </c>
      <c r="D33" s="56">
        <v>12500000</v>
      </c>
      <c r="E33" s="56" t="s">
        <v>28</v>
      </c>
      <c r="F33" s="3" t="s">
        <v>28</v>
      </c>
      <c r="G33" s="3" t="s">
        <v>28</v>
      </c>
      <c r="H33" s="56" t="s">
        <v>28</v>
      </c>
      <c r="I33" s="3" t="s">
        <v>28</v>
      </c>
      <c r="J33" s="56" t="s">
        <v>28</v>
      </c>
      <c r="K33" s="56" t="s">
        <v>28</v>
      </c>
      <c r="L33" s="3">
        <v>35438</v>
      </c>
    </row>
    <row r="34" spans="1:15" ht="12">
      <c r="A34" s="20"/>
      <c r="B34" s="1" t="str">
        <f>'SC4 MF- TDHCA'!B34</f>
        <v>WITHDRAWN</v>
      </c>
      <c r="C34" s="50" t="s">
        <v>194</v>
      </c>
      <c r="D34" s="56"/>
      <c r="E34" s="69" t="s">
        <v>28</v>
      </c>
      <c r="F34" s="1" t="s">
        <v>28</v>
      </c>
      <c r="G34" s="1" t="s">
        <v>28</v>
      </c>
      <c r="H34" s="56" t="s">
        <v>28</v>
      </c>
      <c r="I34" s="1" t="s">
        <v>28</v>
      </c>
      <c r="J34" s="56" t="s">
        <v>28</v>
      </c>
      <c r="K34" s="56" t="s">
        <v>28</v>
      </c>
      <c r="L34" s="1" t="s">
        <v>28</v>
      </c>
    </row>
    <row r="35" spans="1:15" ht="12">
      <c r="A35" s="20"/>
      <c r="B35" s="1" t="str">
        <f>'SC4 MF- TDHCA'!B35</f>
        <v>CLOSED</v>
      </c>
      <c r="C35" s="50" t="s">
        <v>266</v>
      </c>
      <c r="D35" s="56"/>
      <c r="E35" s="69"/>
      <c r="J35" s="56"/>
      <c r="K35" s="56"/>
    </row>
    <row r="36" spans="1:15" ht="12">
      <c r="A36" s="20"/>
      <c r="B36" s="1" t="str">
        <f>'SC4 MF- TDHCA'!B36</f>
        <v>WITHDRAWN</v>
      </c>
      <c r="C36" s="50"/>
      <c r="D36" s="56"/>
      <c r="E36" s="69" t="s">
        <v>28</v>
      </c>
      <c r="F36" s="1" t="s">
        <v>28</v>
      </c>
      <c r="G36" s="1" t="s">
        <v>28</v>
      </c>
      <c r="H36" s="56" t="s">
        <v>28</v>
      </c>
      <c r="I36" s="1" t="s">
        <v>28</v>
      </c>
      <c r="J36" s="56" t="s">
        <v>28</v>
      </c>
      <c r="K36" s="56" t="s">
        <v>28</v>
      </c>
      <c r="L36" s="1" t="s">
        <v>28</v>
      </c>
    </row>
    <row r="37" spans="1:15" ht="12">
      <c r="A37" s="21">
        <v>2405</v>
      </c>
      <c r="B37" s="1" t="str">
        <f>'SC4 MF- TDHCA'!B38</f>
        <v>CANCELLED</v>
      </c>
      <c r="C37" s="50" t="s">
        <v>156</v>
      </c>
      <c r="D37" s="56">
        <v>9000000</v>
      </c>
      <c r="E37" s="56">
        <v>9000000</v>
      </c>
      <c r="F37" s="3">
        <v>35438</v>
      </c>
      <c r="G37" s="3">
        <f>+F37+35</f>
        <v>35473</v>
      </c>
      <c r="H37" s="56">
        <v>9000000</v>
      </c>
      <c r="I37" s="3">
        <f>+F37+120</f>
        <v>35558</v>
      </c>
      <c r="J37" s="56" t="s">
        <v>28</v>
      </c>
      <c r="K37" s="56">
        <v>9000000</v>
      </c>
      <c r="L37" s="3">
        <v>35515</v>
      </c>
    </row>
    <row r="38" spans="1:15" ht="12">
      <c r="A38" s="20"/>
      <c r="B38" s="1" t="str">
        <f>'SC4 MF- TDHCA'!B39</f>
        <v>WITHDRAWN</v>
      </c>
      <c r="C38" s="50" t="s">
        <v>224</v>
      </c>
      <c r="D38" s="56"/>
      <c r="E38" s="69" t="s">
        <v>28</v>
      </c>
      <c r="F38" s="3" t="s">
        <v>28</v>
      </c>
      <c r="G38" s="3" t="s">
        <v>28</v>
      </c>
      <c r="H38" s="56" t="s">
        <v>28</v>
      </c>
      <c r="I38" s="3" t="s">
        <v>28</v>
      </c>
      <c r="J38" s="56" t="s">
        <v>28</v>
      </c>
      <c r="K38" s="56" t="s">
        <v>28</v>
      </c>
      <c r="L38" s="3" t="s">
        <v>28</v>
      </c>
    </row>
    <row r="39" spans="1:15" ht="12">
      <c r="A39" s="20"/>
      <c r="B39" s="1" t="str">
        <f>'SC4 MF- TDHCA'!B40</f>
        <v>WITHDRAWN</v>
      </c>
      <c r="C39" s="50" t="s">
        <v>26</v>
      </c>
      <c r="D39" s="56"/>
      <c r="E39" s="69"/>
      <c r="F39" s="3"/>
      <c r="G39" s="3"/>
      <c r="I39" s="3"/>
      <c r="J39" s="56"/>
      <c r="K39" s="56"/>
      <c r="L39" s="3"/>
    </row>
    <row r="40" spans="1:15" ht="12">
      <c r="A40" s="20"/>
      <c r="B40" s="1" t="str">
        <f>'SC4 MF- TDHCA'!B41</f>
        <v>WITHDRAWN</v>
      </c>
      <c r="C40" s="50"/>
      <c r="D40" s="56"/>
      <c r="E40" s="69" t="s">
        <v>28</v>
      </c>
      <c r="F40" s="3" t="s">
        <v>28</v>
      </c>
      <c r="G40" s="3" t="s">
        <v>28</v>
      </c>
      <c r="H40" s="56" t="s">
        <v>28</v>
      </c>
      <c r="I40" s="3" t="s">
        <v>28</v>
      </c>
      <c r="J40" s="56" t="s">
        <v>28</v>
      </c>
      <c r="K40" s="56" t="s">
        <v>28</v>
      </c>
      <c r="L40" s="3" t="s">
        <v>28</v>
      </c>
    </row>
    <row r="41" spans="1:15" ht="12">
      <c r="A41" s="21">
        <v>26</v>
      </c>
      <c r="B41" s="1">
        <f>'SC4 MF- TDHCA'!B42</f>
        <v>0</v>
      </c>
      <c r="C41" s="50" t="s">
        <v>172</v>
      </c>
      <c r="D41" s="56">
        <v>13600000</v>
      </c>
      <c r="E41" s="56" t="s">
        <v>28</v>
      </c>
      <c r="F41" s="3" t="s">
        <v>28</v>
      </c>
      <c r="G41" s="3" t="s">
        <v>28</v>
      </c>
      <c r="H41" s="56" t="s">
        <v>28</v>
      </c>
      <c r="I41" s="3" t="s">
        <v>28</v>
      </c>
      <c r="J41" s="56" t="s">
        <v>28</v>
      </c>
      <c r="K41" s="56" t="s">
        <v>28</v>
      </c>
      <c r="L41" s="3">
        <v>35431</v>
      </c>
    </row>
    <row r="42" spans="1:15" ht="12">
      <c r="A42" s="20"/>
      <c r="B42" s="1">
        <f>'SC4 MF- TDHCA'!B43</f>
        <v>0</v>
      </c>
      <c r="C42" s="50" t="s">
        <v>237</v>
      </c>
      <c r="D42" s="56"/>
      <c r="E42" s="69" t="s">
        <v>28</v>
      </c>
      <c r="F42" s="1" t="s">
        <v>28</v>
      </c>
      <c r="G42" s="12" t="s">
        <v>28</v>
      </c>
      <c r="H42" s="56" t="s">
        <v>28</v>
      </c>
      <c r="I42" s="1" t="s">
        <v>28</v>
      </c>
      <c r="J42" s="56" t="s">
        <v>28</v>
      </c>
      <c r="K42" s="56" t="s">
        <v>28</v>
      </c>
      <c r="L42" s="1" t="s">
        <v>28</v>
      </c>
    </row>
    <row r="43" spans="1:15" ht="12">
      <c r="A43" s="20"/>
      <c r="B43" s="1">
        <f>'SC4 MF- TDHCA'!B44</f>
        <v>0</v>
      </c>
      <c r="C43" s="50" t="s">
        <v>127</v>
      </c>
      <c r="D43" s="56"/>
      <c r="E43" s="69"/>
      <c r="G43" s="12"/>
      <c r="J43" s="56"/>
      <c r="K43" s="56"/>
    </row>
    <row r="44" spans="1:15" s="26" customFormat="1">
      <c r="A44" s="20"/>
      <c r="B44" s="21" t="str">
        <f>'SC4 MF- TDHCA'!B45</f>
        <v>WITHDRAWN</v>
      </c>
      <c r="C44" s="22"/>
      <c r="D44" s="56"/>
      <c r="E44" s="71" t="s">
        <v>28</v>
      </c>
      <c r="F44" s="24" t="s">
        <v>28</v>
      </c>
      <c r="G44" s="24" t="s">
        <v>28</v>
      </c>
      <c r="H44" s="71" t="s">
        <v>28</v>
      </c>
      <c r="I44" s="24" t="s">
        <v>28</v>
      </c>
      <c r="J44" s="56" t="s">
        <v>28</v>
      </c>
      <c r="K44" s="56" t="s">
        <v>28</v>
      </c>
      <c r="L44" s="24" t="s">
        <v>28</v>
      </c>
      <c r="M44" s="5"/>
      <c r="N44" s="5"/>
      <c r="O44" s="5"/>
    </row>
    <row r="45" spans="1:15" ht="12">
      <c r="A45" s="21">
        <v>2424</v>
      </c>
      <c r="B45" s="1" t="str">
        <f>'SC4 MF- TDHCA'!B46</f>
        <v>WITHDRAWN</v>
      </c>
      <c r="C45" s="50" t="s">
        <v>205</v>
      </c>
      <c r="D45" s="56">
        <v>7000000</v>
      </c>
      <c r="E45" s="56">
        <v>7000000</v>
      </c>
      <c r="F45" s="3">
        <v>35452</v>
      </c>
      <c r="G45" s="3">
        <f>+F45+35</f>
        <v>35487</v>
      </c>
      <c r="H45" s="56">
        <v>7000000</v>
      </c>
      <c r="I45" s="3">
        <f>+F45+120</f>
        <v>35572</v>
      </c>
      <c r="J45" s="56">
        <v>7000000</v>
      </c>
      <c r="K45" s="56">
        <v>0</v>
      </c>
      <c r="L45" s="3">
        <v>35579</v>
      </c>
    </row>
    <row r="46" spans="1:15" ht="12">
      <c r="A46" s="20"/>
      <c r="B46" s="1" t="str">
        <f>'SC4 MF- TDHCA'!B47</f>
        <v>WITHDRAWN</v>
      </c>
      <c r="C46" s="50" t="s">
        <v>81</v>
      </c>
      <c r="D46" s="56"/>
      <c r="E46" s="56" t="s">
        <v>28</v>
      </c>
      <c r="F46" s="3" t="s">
        <v>28</v>
      </c>
      <c r="G46" s="3" t="s">
        <v>28</v>
      </c>
      <c r="H46" s="69" t="s">
        <v>28</v>
      </c>
      <c r="I46" s="4" t="s">
        <v>28</v>
      </c>
      <c r="J46" s="56" t="s">
        <v>28</v>
      </c>
      <c r="K46" s="56" t="s">
        <v>28</v>
      </c>
      <c r="L46" s="3" t="s">
        <v>28</v>
      </c>
    </row>
    <row r="47" spans="1:15" ht="12">
      <c r="A47" s="20"/>
      <c r="B47" s="1" t="str">
        <f>'SC4 MF- TDHCA'!B48</f>
        <v>WITHDRAWN</v>
      </c>
      <c r="C47" s="50" t="s">
        <v>32</v>
      </c>
      <c r="D47" s="56"/>
      <c r="F47" s="3"/>
      <c r="G47" s="3"/>
      <c r="H47" s="69"/>
      <c r="I47" s="4"/>
      <c r="J47" s="56"/>
      <c r="K47" s="56"/>
      <c r="L47" s="3"/>
    </row>
    <row r="48" spans="1:15" ht="12">
      <c r="A48" s="20"/>
      <c r="B48" s="1" t="str">
        <f>'SC4 MF- TDHCA'!B49</f>
        <v>WITHDRAWN</v>
      </c>
      <c r="C48" s="50"/>
      <c r="D48" s="56"/>
      <c r="E48" s="56" t="s">
        <v>28</v>
      </c>
      <c r="F48" s="3" t="s">
        <v>28</v>
      </c>
      <c r="G48" s="3" t="s">
        <v>28</v>
      </c>
      <c r="H48" s="69" t="s">
        <v>28</v>
      </c>
      <c r="I48" s="4" t="s">
        <v>28</v>
      </c>
      <c r="J48" s="56" t="s">
        <v>28</v>
      </c>
      <c r="K48" s="56" t="s">
        <v>28</v>
      </c>
      <c r="L48" s="3" t="s">
        <v>28</v>
      </c>
    </row>
    <row r="49" spans="1:12" ht="12">
      <c r="A49" s="21">
        <v>2384</v>
      </c>
      <c r="B49" s="1" t="str">
        <f>'SC4 MF- TDHCA'!B50</f>
        <v>CLOSED</v>
      </c>
      <c r="C49" s="50" t="s">
        <v>222</v>
      </c>
      <c r="D49" s="56">
        <v>15000000</v>
      </c>
      <c r="E49" s="56">
        <v>15000000</v>
      </c>
      <c r="F49" s="3">
        <v>35431</v>
      </c>
      <c r="G49" s="3">
        <f>+F49+35</f>
        <v>35466</v>
      </c>
      <c r="H49" s="56" t="s">
        <v>28</v>
      </c>
      <c r="I49" s="3">
        <f>+F49+120</f>
        <v>35551</v>
      </c>
      <c r="J49" s="56" t="s">
        <v>28</v>
      </c>
      <c r="K49" s="56">
        <v>15000000</v>
      </c>
      <c r="L49" s="3">
        <v>35467</v>
      </c>
    </row>
    <row r="50" spans="1:12" ht="12">
      <c r="A50" s="20"/>
      <c r="B50" s="12" t="str">
        <f>'SC4 MF- TDHCA'!B51</f>
        <v>CLOSED</v>
      </c>
      <c r="C50" s="50" t="s">
        <v>279</v>
      </c>
      <c r="D50" s="56"/>
      <c r="F50" s="4" t="s">
        <v>28</v>
      </c>
      <c r="G50" s="12" t="s">
        <v>28</v>
      </c>
      <c r="H50" s="56" t="s">
        <v>28</v>
      </c>
      <c r="I50" s="1" t="s">
        <v>28</v>
      </c>
      <c r="J50" s="56" t="s">
        <v>28</v>
      </c>
      <c r="K50" s="56" t="s">
        <v>28</v>
      </c>
      <c r="L50" s="1" t="s">
        <v>28</v>
      </c>
    </row>
    <row r="51" spans="1:12" ht="12">
      <c r="A51" s="20"/>
      <c r="B51" s="12" t="str">
        <f>'SC4 MF- TDHCA'!B52</f>
        <v>CANCELLED</v>
      </c>
      <c r="C51" s="50" t="s">
        <v>33</v>
      </c>
      <c r="D51" s="56"/>
      <c r="F51" s="4"/>
      <c r="G51" s="12"/>
      <c r="J51" s="56"/>
      <c r="K51" s="56"/>
    </row>
    <row r="52" spans="1:12" ht="12">
      <c r="A52" s="21"/>
      <c r="B52" s="12" t="str">
        <f>'SC4 MF- TDHCA'!B53</f>
        <v>CANCELLED</v>
      </c>
      <c r="C52" s="50"/>
      <c r="D52" s="56"/>
      <c r="E52" s="56" t="s">
        <v>28</v>
      </c>
      <c r="F52" s="4" t="s">
        <v>28</v>
      </c>
      <c r="G52" s="12" t="s">
        <v>28</v>
      </c>
      <c r="H52" s="56" t="s">
        <v>28</v>
      </c>
      <c r="I52" s="1" t="s">
        <v>28</v>
      </c>
      <c r="J52" s="56" t="s">
        <v>28</v>
      </c>
      <c r="K52" s="56" t="s">
        <v>28</v>
      </c>
      <c r="L52" s="1" t="s">
        <v>28</v>
      </c>
    </row>
    <row r="53" spans="1:12" ht="12">
      <c r="A53" s="21">
        <v>2417</v>
      </c>
      <c r="B53" s="1" t="str">
        <f>'SC4 MF- TDHCA'!B54</f>
        <v>WITHDRAWN</v>
      </c>
      <c r="C53" s="50" t="s">
        <v>36</v>
      </c>
      <c r="D53" s="56">
        <v>8000000</v>
      </c>
      <c r="E53" s="56">
        <v>8000000</v>
      </c>
      <c r="F53" s="3">
        <v>35445</v>
      </c>
      <c r="G53" s="3">
        <f>+F53+35</f>
        <v>35480</v>
      </c>
      <c r="H53" s="56">
        <v>8000000</v>
      </c>
      <c r="I53" s="3">
        <f>+F53+120</f>
        <v>35565</v>
      </c>
      <c r="J53" s="56">
        <v>7450000</v>
      </c>
      <c r="K53" s="56">
        <v>550000</v>
      </c>
      <c r="L53" s="3">
        <v>35572</v>
      </c>
    </row>
    <row r="54" spans="1:12" ht="12">
      <c r="A54" s="20"/>
      <c r="B54" s="12" t="str">
        <f>'SC4 MF- TDHCA'!B55</f>
        <v>CLOSED</v>
      </c>
      <c r="C54" s="50" t="s">
        <v>56</v>
      </c>
      <c r="D54" s="56"/>
      <c r="E54" s="56" t="s">
        <v>28</v>
      </c>
      <c r="F54" s="3" t="s">
        <v>28</v>
      </c>
      <c r="G54" s="12" t="s">
        <v>28</v>
      </c>
      <c r="H54" s="56" t="s">
        <v>28</v>
      </c>
      <c r="I54" s="1" t="s">
        <v>28</v>
      </c>
      <c r="J54" s="56" t="s">
        <v>28</v>
      </c>
      <c r="K54" s="56" t="s">
        <v>28</v>
      </c>
      <c r="L54" s="1" t="s">
        <v>28</v>
      </c>
    </row>
    <row r="55" spans="1:12" ht="12">
      <c r="A55" s="20"/>
      <c r="B55" s="12" t="str">
        <f>'SC4 MF- TDHCA'!B56</f>
        <v>WITHDRAWN</v>
      </c>
      <c r="C55" s="50" t="s">
        <v>232</v>
      </c>
      <c r="D55" s="56"/>
      <c r="F55" s="3"/>
      <c r="G55" s="12"/>
      <c r="J55" s="56"/>
      <c r="K55" s="56"/>
    </row>
    <row r="56" spans="1:12" ht="12">
      <c r="A56" s="20"/>
      <c r="B56" s="12" t="str">
        <f>'SC4 MF- TDHCA'!B57</f>
        <v>CLOSED</v>
      </c>
      <c r="C56" s="50"/>
      <c r="D56" s="56"/>
      <c r="E56" s="56" t="s">
        <v>28</v>
      </c>
      <c r="F56" s="3" t="s">
        <v>28</v>
      </c>
      <c r="G56" s="12" t="s">
        <v>28</v>
      </c>
      <c r="H56" s="56" t="s">
        <v>28</v>
      </c>
      <c r="I56" s="1" t="s">
        <v>28</v>
      </c>
      <c r="J56" s="56" t="s">
        <v>28</v>
      </c>
      <c r="K56" s="56" t="s">
        <v>28</v>
      </c>
      <c r="L56" s="1" t="s">
        <v>28</v>
      </c>
    </row>
    <row r="57" spans="1:12" ht="12">
      <c r="A57" s="21">
        <v>2406</v>
      </c>
      <c r="B57" s="1" t="str">
        <f>'SC4 MF- TDHCA'!B58</f>
        <v>CLOSED</v>
      </c>
      <c r="C57" s="50" t="s">
        <v>138</v>
      </c>
      <c r="D57" s="56">
        <v>3550000</v>
      </c>
      <c r="E57" s="56">
        <v>3550000</v>
      </c>
      <c r="F57" s="3">
        <v>35438</v>
      </c>
      <c r="G57" s="3">
        <f>+F57+35</f>
        <v>35473</v>
      </c>
      <c r="H57" s="56">
        <v>3550000</v>
      </c>
      <c r="I57" s="3">
        <f>+F57+120</f>
        <v>35558</v>
      </c>
      <c r="J57" s="56">
        <v>3550000</v>
      </c>
      <c r="K57" s="56">
        <v>0</v>
      </c>
      <c r="L57" s="3">
        <v>35565</v>
      </c>
    </row>
    <row r="58" spans="1:12" ht="12">
      <c r="A58" s="20"/>
      <c r="B58" s="12" t="str">
        <f>'SC4 MF- TDHCA'!B59</f>
        <v>WITHDRAWN</v>
      </c>
      <c r="C58" s="50" t="s">
        <v>206</v>
      </c>
      <c r="D58" s="56"/>
      <c r="E58" s="69" t="s">
        <v>28</v>
      </c>
      <c r="F58" s="4" t="s">
        <v>28</v>
      </c>
      <c r="G58" s="12" t="s">
        <v>28</v>
      </c>
      <c r="H58" s="56" t="s">
        <v>28</v>
      </c>
      <c r="I58" s="1" t="s">
        <v>28</v>
      </c>
      <c r="J58" s="56" t="s">
        <v>28</v>
      </c>
      <c r="K58" s="56" t="s">
        <v>28</v>
      </c>
      <c r="L58" s="1" t="s">
        <v>28</v>
      </c>
    </row>
    <row r="59" spans="1:12" ht="12">
      <c r="A59" s="20"/>
      <c r="B59" s="12" t="str">
        <f>'SC4 MF- TDHCA'!B60</f>
        <v>WITHDRAWN</v>
      </c>
      <c r="C59" s="50" t="s">
        <v>280</v>
      </c>
      <c r="D59" s="56"/>
      <c r="E59" s="69"/>
      <c r="F59" s="4"/>
      <c r="G59" s="12"/>
      <c r="J59" s="56"/>
      <c r="K59" s="56"/>
    </row>
    <row r="60" spans="1:12" ht="12">
      <c r="A60" s="20"/>
      <c r="B60" s="12" t="str">
        <f>'SC4 MF- TDHCA'!B61</f>
        <v>CLOSED</v>
      </c>
      <c r="C60" s="50"/>
      <c r="D60" s="56"/>
      <c r="E60" s="69" t="s">
        <v>28</v>
      </c>
      <c r="F60" s="4" t="s">
        <v>28</v>
      </c>
      <c r="G60" s="12" t="s">
        <v>28</v>
      </c>
      <c r="H60" s="56" t="s">
        <v>28</v>
      </c>
      <c r="I60" s="1" t="s">
        <v>28</v>
      </c>
      <c r="J60" s="56" t="s">
        <v>28</v>
      </c>
      <c r="K60" s="56" t="s">
        <v>28</v>
      </c>
      <c r="L60" s="1" t="s">
        <v>28</v>
      </c>
    </row>
    <row r="61" spans="1:12" ht="12">
      <c r="A61" s="21">
        <v>2385</v>
      </c>
      <c r="B61" s="1" t="str">
        <f>'SC4 MF- TDHCA'!B62</f>
        <v>WITHDRAWN</v>
      </c>
      <c r="C61" s="50" t="s">
        <v>36</v>
      </c>
      <c r="D61" s="56">
        <v>11000000</v>
      </c>
      <c r="E61" s="56">
        <v>11000000</v>
      </c>
      <c r="F61" s="3">
        <v>35431</v>
      </c>
      <c r="G61" s="3">
        <f>+F61+35</f>
        <v>35466</v>
      </c>
      <c r="H61" s="56">
        <v>11000000</v>
      </c>
      <c r="I61" s="3">
        <f>+F61+120</f>
        <v>35551</v>
      </c>
      <c r="J61" s="56">
        <v>10000000</v>
      </c>
      <c r="K61" s="56">
        <v>1000000</v>
      </c>
      <c r="L61" s="3">
        <v>35556</v>
      </c>
    </row>
    <row r="62" spans="1:12" ht="12">
      <c r="A62" s="21"/>
      <c r="B62" s="12" t="str">
        <f>'SC4 MF- TDHCA'!B63</f>
        <v>CANCELLED</v>
      </c>
      <c r="C62" s="50" t="s">
        <v>29</v>
      </c>
      <c r="D62" s="56"/>
      <c r="E62" s="56" t="s">
        <v>28</v>
      </c>
      <c r="F62" s="4" t="s">
        <v>28</v>
      </c>
      <c r="G62" s="1" t="s">
        <v>28</v>
      </c>
      <c r="H62" s="56" t="s">
        <v>28</v>
      </c>
      <c r="I62" s="1" t="s">
        <v>28</v>
      </c>
      <c r="J62" s="56" t="s">
        <v>28</v>
      </c>
      <c r="K62" s="56" t="s">
        <v>28</v>
      </c>
      <c r="L62" s="1" t="s">
        <v>28</v>
      </c>
    </row>
    <row r="63" spans="1:12" ht="12">
      <c r="A63" s="21"/>
      <c r="B63" s="12" t="str">
        <f>'SC4 MF- TDHCA'!B108</f>
        <v>IN-LINE</v>
      </c>
      <c r="C63" s="50" t="s">
        <v>232</v>
      </c>
      <c r="D63" s="56"/>
      <c r="F63" s="4"/>
      <c r="J63" s="56"/>
      <c r="K63" s="56"/>
    </row>
    <row r="64" spans="1:12" ht="12">
      <c r="A64" s="21"/>
      <c r="B64" s="12" t="str">
        <f>'SC4 MF- TDHCA'!B109</f>
        <v>IN-LINE</v>
      </c>
      <c r="C64" s="50"/>
      <c r="D64" s="56"/>
      <c r="E64" s="56" t="s">
        <v>28</v>
      </c>
      <c r="F64" s="4" t="s">
        <v>28</v>
      </c>
      <c r="G64" s="1" t="s">
        <v>28</v>
      </c>
      <c r="H64" s="56" t="s">
        <v>28</v>
      </c>
      <c r="I64" s="1" t="s">
        <v>28</v>
      </c>
      <c r="J64" s="56" t="s">
        <v>28</v>
      </c>
      <c r="K64" s="56" t="s">
        <v>28</v>
      </c>
      <c r="L64" s="1" t="s">
        <v>28</v>
      </c>
    </row>
    <row r="65" spans="1:12" ht="12">
      <c r="A65" s="21">
        <v>2418</v>
      </c>
      <c r="B65" s="1" t="str">
        <f>'SC4 MF- TDHCA'!B110</f>
        <v>IN-LINE</v>
      </c>
      <c r="C65" s="50" t="s">
        <v>36</v>
      </c>
      <c r="D65" s="56">
        <v>9520000</v>
      </c>
      <c r="E65" s="56">
        <v>9520000</v>
      </c>
      <c r="F65" s="3">
        <v>35445</v>
      </c>
      <c r="G65" s="3">
        <f>+F65+35</f>
        <v>35480</v>
      </c>
      <c r="H65" s="56">
        <v>9520000</v>
      </c>
      <c r="I65" s="3">
        <f>+F65+120</f>
        <v>35565</v>
      </c>
      <c r="J65" s="56">
        <v>9520000</v>
      </c>
      <c r="K65" s="56">
        <v>0</v>
      </c>
      <c r="L65" s="3">
        <v>35563</v>
      </c>
    </row>
    <row r="66" spans="1:12" ht="12">
      <c r="A66" s="20"/>
      <c r="B66" s="12" t="str">
        <f>'SC4 MF- TDHCA'!B111</f>
        <v>IN-LINE</v>
      </c>
      <c r="C66" s="50" t="s">
        <v>239</v>
      </c>
      <c r="D66" s="56"/>
      <c r="E66" s="56" t="s">
        <v>28</v>
      </c>
      <c r="F66" s="3" t="s">
        <v>28</v>
      </c>
      <c r="G66" s="1" t="s">
        <v>28</v>
      </c>
      <c r="H66" s="56" t="s">
        <v>28</v>
      </c>
      <c r="I66" s="1" t="s">
        <v>28</v>
      </c>
      <c r="J66" s="56" t="s">
        <v>28</v>
      </c>
      <c r="K66" s="56" t="s">
        <v>28</v>
      </c>
      <c r="L66" s="1" t="s">
        <v>28</v>
      </c>
    </row>
    <row r="67" spans="1:12" ht="12">
      <c r="A67" s="20"/>
      <c r="B67" s="12" t="e">
        <f>'SC4 MF- TDHCA'!#REF!</f>
        <v>#REF!</v>
      </c>
      <c r="C67" s="50" t="s">
        <v>232</v>
      </c>
      <c r="D67" s="56"/>
      <c r="F67" s="3"/>
      <c r="J67" s="56"/>
      <c r="K67" s="56"/>
    </row>
    <row r="68" spans="1:12" ht="12">
      <c r="A68" s="20"/>
      <c r="B68" s="12" t="e">
        <f>'SC4 MF- TDHCA'!#REF!</f>
        <v>#REF!</v>
      </c>
      <c r="C68" s="50"/>
      <c r="D68" s="56"/>
      <c r="E68" s="56" t="s">
        <v>28</v>
      </c>
      <c r="F68" s="3" t="s">
        <v>28</v>
      </c>
      <c r="G68" s="1" t="s">
        <v>28</v>
      </c>
      <c r="H68" s="56" t="s">
        <v>28</v>
      </c>
      <c r="I68" s="1" t="s">
        <v>28</v>
      </c>
      <c r="J68" s="56" t="s">
        <v>28</v>
      </c>
      <c r="K68" s="56" t="s">
        <v>28</v>
      </c>
      <c r="L68" s="1" t="s">
        <v>28</v>
      </c>
    </row>
    <row r="69" spans="1:12" ht="12">
      <c r="A69" s="21">
        <v>41</v>
      </c>
      <c r="B69" s="1" t="e">
        <f>'SC4 MF- TDHCA'!#REF!</f>
        <v>#REF!</v>
      </c>
      <c r="C69" s="50" t="s">
        <v>230</v>
      </c>
      <c r="D69" s="56">
        <v>3100000</v>
      </c>
      <c r="E69" s="56" t="s">
        <v>28</v>
      </c>
      <c r="F69" s="3" t="s">
        <v>28</v>
      </c>
      <c r="G69" s="3" t="s">
        <v>28</v>
      </c>
      <c r="H69" s="56" t="s">
        <v>28</v>
      </c>
      <c r="I69" s="3" t="s">
        <v>28</v>
      </c>
      <c r="J69" s="56" t="s">
        <v>28</v>
      </c>
      <c r="K69" s="56" t="s">
        <v>28</v>
      </c>
      <c r="L69" s="3">
        <v>35452</v>
      </c>
    </row>
    <row r="70" spans="1:12" ht="12">
      <c r="A70" s="20"/>
      <c r="B70" s="12" t="e">
        <f>'SC4 MF- TDHCA'!#REF!</f>
        <v>#REF!</v>
      </c>
      <c r="C70" s="50" t="s">
        <v>48</v>
      </c>
      <c r="D70" s="56"/>
      <c r="E70" s="56" t="s">
        <v>28</v>
      </c>
      <c r="F70" s="4" t="s">
        <v>28</v>
      </c>
      <c r="G70" s="1" t="s">
        <v>28</v>
      </c>
      <c r="H70" s="56" t="s">
        <v>28</v>
      </c>
      <c r="I70" s="1" t="s">
        <v>28</v>
      </c>
      <c r="J70" s="56" t="s">
        <v>28</v>
      </c>
      <c r="K70" s="56" t="s">
        <v>28</v>
      </c>
      <c r="L70" s="1" t="s">
        <v>28</v>
      </c>
    </row>
    <row r="71" spans="1:12" ht="12">
      <c r="A71" s="20"/>
      <c r="B71" s="12" t="e">
        <f>'SC4 MF- TDHCA'!#REF!</f>
        <v>#REF!</v>
      </c>
      <c r="C71" s="50" t="s">
        <v>33</v>
      </c>
      <c r="D71" s="56"/>
      <c r="F71" s="4"/>
      <c r="J71" s="56"/>
      <c r="K71" s="56"/>
    </row>
    <row r="72" spans="1:12" ht="12">
      <c r="A72" s="20"/>
      <c r="B72" s="12" t="e">
        <f>'SC4 MF- TDHCA'!#REF!</f>
        <v>#REF!</v>
      </c>
      <c r="C72" s="50"/>
      <c r="D72" s="56"/>
      <c r="E72" s="56" t="s">
        <v>28</v>
      </c>
      <c r="F72" s="4" t="s">
        <v>28</v>
      </c>
      <c r="G72" s="1" t="s">
        <v>28</v>
      </c>
      <c r="H72" s="56" t="s">
        <v>28</v>
      </c>
      <c r="I72" s="1" t="s">
        <v>28</v>
      </c>
      <c r="J72" s="56" t="s">
        <v>28</v>
      </c>
      <c r="K72" s="56" t="s">
        <v>28</v>
      </c>
      <c r="L72" s="1" t="s">
        <v>28</v>
      </c>
    </row>
    <row r="73" spans="1:12" ht="12">
      <c r="A73" s="21">
        <v>2433</v>
      </c>
      <c r="B73" s="1" t="e">
        <f>'SC4 MF- TDHCA'!#REF!</f>
        <v>#REF!</v>
      </c>
      <c r="C73" s="50" t="s">
        <v>172</v>
      </c>
      <c r="D73" s="56">
        <v>13530000</v>
      </c>
      <c r="E73" s="56">
        <v>13530000</v>
      </c>
      <c r="F73" s="3">
        <v>35459</v>
      </c>
      <c r="G73" s="3">
        <f>+F73+35</f>
        <v>35494</v>
      </c>
      <c r="H73" s="56">
        <v>13530000</v>
      </c>
      <c r="I73" s="3">
        <f>+F73+120</f>
        <v>35579</v>
      </c>
      <c r="J73" s="56">
        <v>12400000</v>
      </c>
      <c r="K73" s="56">
        <v>1130000</v>
      </c>
      <c r="L73" s="3">
        <v>35560</v>
      </c>
    </row>
    <row r="74" spans="1:12" ht="12">
      <c r="A74" s="21"/>
      <c r="B74" s="12" t="e">
        <f>'SC4 MF- TDHCA'!#REF!</f>
        <v>#REF!</v>
      </c>
      <c r="C74" s="50" t="s">
        <v>181</v>
      </c>
      <c r="D74" s="56"/>
      <c r="E74" s="56" t="s">
        <v>28</v>
      </c>
      <c r="F74" s="4" t="s">
        <v>28</v>
      </c>
      <c r="G74" s="1" t="s">
        <v>28</v>
      </c>
      <c r="H74" s="56" t="s">
        <v>28</v>
      </c>
      <c r="I74" s="1" t="s">
        <v>28</v>
      </c>
      <c r="J74" s="56" t="s">
        <v>28</v>
      </c>
      <c r="K74" s="56" t="s">
        <v>28</v>
      </c>
      <c r="L74" s="1" t="s">
        <v>28</v>
      </c>
    </row>
    <row r="75" spans="1:12" ht="12">
      <c r="A75" s="21"/>
      <c r="B75" s="12" t="e">
        <f>'SC4 MF- TDHCA'!#REF!</f>
        <v>#REF!</v>
      </c>
      <c r="C75" s="50" t="s">
        <v>150</v>
      </c>
      <c r="D75" s="56"/>
      <c r="F75" s="4"/>
      <c r="J75" s="56"/>
      <c r="K75" s="56"/>
    </row>
    <row r="76" spans="1:12" ht="12">
      <c r="A76" s="21"/>
      <c r="B76" s="12" t="e">
        <f>'SC4 MF- TDHCA'!#REF!</f>
        <v>#REF!</v>
      </c>
      <c r="C76" s="50"/>
      <c r="D76" s="56"/>
      <c r="E76" s="56" t="s">
        <v>28</v>
      </c>
      <c r="F76" s="4" t="s">
        <v>28</v>
      </c>
      <c r="G76" s="1" t="s">
        <v>28</v>
      </c>
      <c r="H76" s="56" t="s">
        <v>28</v>
      </c>
      <c r="I76" s="1" t="s">
        <v>28</v>
      </c>
      <c r="J76" s="56" t="s">
        <v>28</v>
      </c>
      <c r="K76" s="56" t="s">
        <v>28</v>
      </c>
      <c r="L76" s="1" t="s">
        <v>28</v>
      </c>
    </row>
    <row r="77" spans="1:12" ht="12">
      <c r="A77" s="21">
        <v>2407</v>
      </c>
      <c r="B77" s="1" t="e">
        <f>'SC4 MF- TDHCA'!#REF!</f>
        <v>#REF!</v>
      </c>
      <c r="C77" s="50" t="s">
        <v>156</v>
      </c>
      <c r="D77" s="56">
        <v>12250000</v>
      </c>
      <c r="E77" s="56">
        <v>12250000</v>
      </c>
      <c r="F77" s="3">
        <v>35438</v>
      </c>
      <c r="G77" s="3">
        <f>+F77+35</f>
        <v>35473</v>
      </c>
      <c r="H77" s="56" t="s">
        <v>28</v>
      </c>
      <c r="I77" s="3">
        <f>+F77+120</f>
        <v>35558</v>
      </c>
      <c r="J77" s="56" t="s">
        <v>28</v>
      </c>
      <c r="K77" s="56">
        <v>12250000</v>
      </c>
      <c r="L77" s="3">
        <v>35473</v>
      </c>
    </row>
    <row r="78" spans="1:12" ht="12">
      <c r="A78" s="21"/>
      <c r="B78" s="12" t="e">
        <f>'SC4 MF- TDHCA'!#REF!</f>
        <v>#REF!</v>
      </c>
      <c r="C78" s="50" t="s">
        <v>115</v>
      </c>
      <c r="D78" s="56"/>
      <c r="E78" s="56" t="s">
        <v>28</v>
      </c>
      <c r="F78" s="3" t="s">
        <v>28</v>
      </c>
      <c r="G78" s="12" t="s">
        <v>28</v>
      </c>
      <c r="H78" s="56" t="s">
        <v>28</v>
      </c>
      <c r="I78" s="1" t="s">
        <v>28</v>
      </c>
      <c r="J78" s="56" t="s">
        <v>28</v>
      </c>
      <c r="K78" s="56" t="s">
        <v>28</v>
      </c>
      <c r="L78" s="1" t="s">
        <v>28</v>
      </c>
    </row>
    <row r="79" spans="1:12" ht="12">
      <c r="A79" s="21"/>
      <c r="B79" s="12" t="e">
        <f>'SC4 MF- TDHCA'!#REF!</f>
        <v>#REF!</v>
      </c>
      <c r="C79" s="50" t="s">
        <v>96</v>
      </c>
      <c r="D79" s="56"/>
      <c r="F79" s="3"/>
      <c r="G79" s="12"/>
      <c r="J79" s="56"/>
      <c r="K79" s="56"/>
    </row>
    <row r="80" spans="1:12" ht="12">
      <c r="A80" s="21"/>
      <c r="B80" s="12" t="e">
        <f>'SC4 MF- TDHCA'!#REF!</f>
        <v>#REF!</v>
      </c>
      <c r="C80" s="50"/>
      <c r="D80" s="56"/>
      <c r="E80" s="56" t="s">
        <v>28</v>
      </c>
      <c r="F80" s="3" t="s">
        <v>28</v>
      </c>
      <c r="G80" s="12" t="s">
        <v>28</v>
      </c>
      <c r="H80" s="56" t="s">
        <v>28</v>
      </c>
      <c r="I80" s="1" t="s">
        <v>28</v>
      </c>
      <c r="J80" s="56" t="s">
        <v>28</v>
      </c>
      <c r="K80" s="56" t="s">
        <v>28</v>
      </c>
      <c r="L80" s="1" t="s">
        <v>28</v>
      </c>
    </row>
    <row r="81" spans="1:12" ht="12">
      <c r="A81" s="21">
        <v>2402</v>
      </c>
      <c r="B81" s="1" t="e">
        <f>'SC4 MF- TDHCA'!#REF!</f>
        <v>#REF!</v>
      </c>
      <c r="C81" s="50" t="s">
        <v>250</v>
      </c>
      <c r="D81" s="56">
        <v>15000000</v>
      </c>
      <c r="E81" s="56">
        <v>15000000</v>
      </c>
      <c r="F81" s="3">
        <v>35437</v>
      </c>
      <c r="G81" s="3">
        <f>+F81+35</f>
        <v>35472</v>
      </c>
      <c r="H81" s="56">
        <v>15000000</v>
      </c>
      <c r="I81" s="3">
        <f>+F81+120</f>
        <v>35557</v>
      </c>
      <c r="J81" s="56">
        <v>0</v>
      </c>
      <c r="K81" s="56">
        <v>15000000</v>
      </c>
      <c r="L81" s="3">
        <v>35558</v>
      </c>
    </row>
    <row r="82" spans="1:12" ht="12">
      <c r="A82" s="21"/>
      <c r="B82" s="1" t="e">
        <f>'SC4 MF- TDHCA'!#REF!</f>
        <v>#REF!</v>
      </c>
      <c r="C82" s="50" t="s">
        <v>231</v>
      </c>
      <c r="D82" s="56"/>
      <c r="E82" s="56" t="s">
        <v>28</v>
      </c>
      <c r="F82" s="3" t="s">
        <v>28</v>
      </c>
      <c r="G82" s="3" t="s">
        <v>28</v>
      </c>
      <c r="H82" s="56" t="s">
        <v>28</v>
      </c>
      <c r="I82" s="3" t="s">
        <v>28</v>
      </c>
      <c r="J82" s="56" t="s">
        <v>28</v>
      </c>
      <c r="K82" s="56" t="s">
        <v>28</v>
      </c>
      <c r="L82" s="3" t="s">
        <v>28</v>
      </c>
    </row>
    <row r="83" spans="1:12" ht="12">
      <c r="A83" s="21"/>
      <c r="B83" s="1" t="e">
        <f>'SC4 MF- TDHCA'!#REF!</f>
        <v>#REF!</v>
      </c>
      <c r="C83" s="50" t="s">
        <v>130</v>
      </c>
      <c r="D83" s="56"/>
      <c r="F83" s="3"/>
      <c r="G83" s="3"/>
      <c r="I83" s="3"/>
      <c r="J83" s="56"/>
      <c r="K83" s="56"/>
      <c r="L83" s="3"/>
    </row>
    <row r="84" spans="1:12" ht="12">
      <c r="A84" s="21"/>
      <c r="B84" s="1" t="e">
        <f>'SC4 MF- TDHCA'!#REF!</f>
        <v>#REF!</v>
      </c>
      <c r="C84" s="50"/>
      <c r="D84" s="56"/>
      <c r="E84" s="56" t="s">
        <v>28</v>
      </c>
      <c r="F84" s="3" t="s">
        <v>28</v>
      </c>
      <c r="G84" s="3" t="s">
        <v>28</v>
      </c>
      <c r="H84" s="56" t="s">
        <v>28</v>
      </c>
      <c r="I84" s="3" t="s">
        <v>28</v>
      </c>
      <c r="J84" s="56" t="s">
        <v>28</v>
      </c>
      <c r="K84" s="56" t="s">
        <v>28</v>
      </c>
      <c r="L84" s="3" t="s">
        <v>28</v>
      </c>
    </row>
    <row r="85" spans="1:12" ht="12">
      <c r="A85" s="21">
        <v>2390</v>
      </c>
      <c r="B85" s="1" t="e">
        <f>'SC4 MF- TDHCA'!#REF!</f>
        <v>#REF!</v>
      </c>
      <c r="C85" s="50" t="s">
        <v>156</v>
      </c>
      <c r="D85" s="56">
        <v>14100000</v>
      </c>
      <c r="E85" s="56">
        <v>14100000</v>
      </c>
      <c r="F85" s="3">
        <v>35432</v>
      </c>
      <c r="G85" s="3">
        <f>+F85+35</f>
        <v>35467</v>
      </c>
      <c r="H85" s="56">
        <v>14100000</v>
      </c>
      <c r="I85" s="3">
        <f>+F85+120</f>
        <v>35552</v>
      </c>
      <c r="J85" s="56">
        <v>13750000</v>
      </c>
      <c r="K85" s="56">
        <v>350000</v>
      </c>
      <c r="L85" s="3">
        <v>35559</v>
      </c>
    </row>
    <row r="86" spans="1:12" ht="12">
      <c r="A86" s="20"/>
      <c r="B86" s="12" t="e">
        <f>'SC4 MF- TDHCA'!#REF!</f>
        <v>#REF!</v>
      </c>
      <c r="C86" s="50" t="s">
        <v>262</v>
      </c>
      <c r="D86" s="56"/>
      <c r="E86" s="69" t="s">
        <v>28</v>
      </c>
      <c r="F86" s="3"/>
      <c r="G86" s="12" t="s">
        <v>28</v>
      </c>
      <c r="H86" s="56" t="s">
        <v>28</v>
      </c>
      <c r="I86" s="1" t="s">
        <v>28</v>
      </c>
      <c r="J86" s="56" t="s">
        <v>28</v>
      </c>
      <c r="K86" s="56" t="s">
        <v>28</v>
      </c>
      <c r="L86" s="1" t="s">
        <v>28</v>
      </c>
    </row>
    <row r="87" spans="1:12" ht="12">
      <c r="A87" s="20"/>
      <c r="B87" s="12" t="e">
        <f>'SC4 MF- TDHCA'!#REF!</f>
        <v>#REF!</v>
      </c>
      <c r="C87" s="50" t="s">
        <v>128</v>
      </c>
      <c r="D87" s="56"/>
      <c r="E87" s="69"/>
      <c r="F87" s="3"/>
      <c r="G87" s="12"/>
      <c r="J87" s="56"/>
      <c r="K87" s="56"/>
    </row>
    <row r="88" spans="1:12" ht="12">
      <c r="A88" s="20"/>
      <c r="B88" s="12" t="e">
        <f>'SC4 MF- TDHCA'!#REF!</f>
        <v>#REF!</v>
      </c>
      <c r="C88" s="50"/>
      <c r="D88" s="56"/>
      <c r="E88" s="69" t="s">
        <v>28</v>
      </c>
      <c r="F88" s="3"/>
      <c r="G88" s="12" t="s">
        <v>28</v>
      </c>
      <c r="H88" s="56" t="s">
        <v>28</v>
      </c>
      <c r="I88" s="1" t="s">
        <v>28</v>
      </c>
      <c r="J88" s="56" t="s">
        <v>28</v>
      </c>
      <c r="K88" s="56" t="s">
        <v>28</v>
      </c>
      <c r="L88" s="1" t="s">
        <v>28</v>
      </c>
    </row>
    <row r="89" spans="1:12" ht="12">
      <c r="A89" s="21">
        <v>2391</v>
      </c>
      <c r="B89" s="1" t="e">
        <f>'SC4 MF- TDHCA'!#REF!</f>
        <v>#REF!</v>
      </c>
      <c r="C89" s="50" t="s">
        <v>203</v>
      </c>
      <c r="D89" s="56">
        <v>8000000</v>
      </c>
      <c r="E89" s="56">
        <v>8000000</v>
      </c>
      <c r="F89" s="3">
        <v>35432</v>
      </c>
      <c r="G89" s="3">
        <f>+F89+35</f>
        <v>35467</v>
      </c>
      <c r="H89" s="56">
        <v>8000000</v>
      </c>
      <c r="I89" s="3">
        <f>+F89+120</f>
        <v>35552</v>
      </c>
      <c r="J89" s="56">
        <v>7500000</v>
      </c>
      <c r="K89" s="56">
        <v>500000</v>
      </c>
      <c r="L89" s="3">
        <v>35559</v>
      </c>
    </row>
    <row r="90" spans="1:12" ht="12">
      <c r="A90" s="20"/>
      <c r="B90" s="12" t="e">
        <f>'SC4 MF- TDHCA'!#REF!</f>
        <v>#REF!</v>
      </c>
      <c r="C90" s="50" t="s">
        <v>116</v>
      </c>
      <c r="D90" s="56"/>
      <c r="E90" s="69" t="s">
        <v>28</v>
      </c>
      <c r="F90" s="3"/>
      <c r="G90" s="12" t="s">
        <v>28</v>
      </c>
      <c r="H90" s="56" t="s">
        <v>28</v>
      </c>
      <c r="I90" s="1" t="s">
        <v>28</v>
      </c>
      <c r="J90" s="56" t="s">
        <v>28</v>
      </c>
      <c r="K90" s="56" t="s">
        <v>28</v>
      </c>
      <c r="L90" s="1" t="s">
        <v>28</v>
      </c>
    </row>
    <row r="91" spans="1:12" ht="12">
      <c r="A91" s="20"/>
      <c r="B91" s="12" t="e">
        <f>'SC4 MF- TDHCA'!#REF!</f>
        <v>#REF!</v>
      </c>
      <c r="C91" s="50" t="s">
        <v>129</v>
      </c>
      <c r="D91" s="56"/>
      <c r="E91" s="69"/>
      <c r="F91" s="3"/>
      <c r="G91" s="12"/>
      <c r="J91" s="56"/>
      <c r="K91" s="56"/>
    </row>
    <row r="92" spans="1:12" ht="12">
      <c r="A92" s="20"/>
      <c r="B92" s="12" t="e">
        <f>'SC4 MF- TDHCA'!#REF!</f>
        <v>#REF!</v>
      </c>
      <c r="C92" s="50"/>
      <c r="D92" s="56"/>
      <c r="E92" s="69" t="s">
        <v>28</v>
      </c>
      <c r="F92" s="3"/>
      <c r="G92" s="12" t="s">
        <v>28</v>
      </c>
      <c r="H92" s="56" t="s">
        <v>28</v>
      </c>
      <c r="I92" s="1" t="s">
        <v>28</v>
      </c>
      <c r="J92" s="56" t="s">
        <v>28</v>
      </c>
      <c r="K92" s="56" t="s">
        <v>28</v>
      </c>
      <c r="L92" s="1" t="s">
        <v>28</v>
      </c>
    </row>
    <row r="93" spans="1:12" ht="12">
      <c r="A93" s="21">
        <v>2392</v>
      </c>
      <c r="B93" s="1" t="e">
        <f>'SC4 MF- TDHCA'!#REF!</f>
        <v>#REF!</v>
      </c>
      <c r="C93" s="50" t="s">
        <v>156</v>
      </c>
      <c r="D93" s="56">
        <v>14100000</v>
      </c>
      <c r="E93" s="56">
        <v>14100000</v>
      </c>
      <c r="F93" s="3">
        <v>35432</v>
      </c>
      <c r="G93" s="3">
        <f>+F93+35</f>
        <v>35467</v>
      </c>
      <c r="H93" s="56">
        <v>14100000</v>
      </c>
      <c r="I93" s="3">
        <f>+F93+120</f>
        <v>35552</v>
      </c>
      <c r="J93" s="56">
        <v>10700000</v>
      </c>
      <c r="K93" s="56">
        <v>3400000</v>
      </c>
      <c r="L93" s="3">
        <v>35559</v>
      </c>
    </row>
    <row r="94" spans="1:12" ht="12">
      <c r="A94" s="20"/>
      <c r="B94" s="1" t="e">
        <f>'SC4 MF- TDHCA'!#REF!</f>
        <v>#REF!</v>
      </c>
      <c r="C94" s="50" t="s">
        <v>277</v>
      </c>
      <c r="D94" s="56"/>
      <c r="E94" s="69" t="s">
        <v>28</v>
      </c>
      <c r="F94" s="3" t="s">
        <v>28</v>
      </c>
      <c r="G94" s="4" t="s">
        <v>28</v>
      </c>
      <c r="H94" s="56" t="s">
        <v>28</v>
      </c>
      <c r="I94" s="3" t="s">
        <v>28</v>
      </c>
      <c r="J94" s="56" t="s">
        <v>28</v>
      </c>
      <c r="K94" s="56" t="s">
        <v>28</v>
      </c>
      <c r="L94" s="3" t="s">
        <v>28</v>
      </c>
    </row>
    <row r="95" spans="1:12" ht="12">
      <c r="A95" s="20"/>
      <c r="B95" s="1" t="e">
        <f>'SC4 MF- TDHCA'!#REF!</f>
        <v>#REF!</v>
      </c>
      <c r="C95" s="50" t="s">
        <v>128</v>
      </c>
      <c r="D95" s="56"/>
      <c r="E95" s="69"/>
      <c r="F95" s="3"/>
      <c r="G95" s="4"/>
      <c r="I95" s="3"/>
      <c r="J95" s="56"/>
      <c r="K95" s="56"/>
      <c r="L95" s="3"/>
    </row>
    <row r="96" spans="1:12" ht="12">
      <c r="A96" s="20"/>
      <c r="B96" s="1" t="e">
        <f>'SC4 MF- TDHCA'!#REF!</f>
        <v>#REF!</v>
      </c>
      <c r="C96" s="50"/>
      <c r="D96" s="56"/>
      <c r="E96" s="69" t="s">
        <v>28</v>
      </c>
      <c r="F96" s="3"/>
      <c r="G96" s="4" t="s">
        <v>28</v>
      </c>
      <c r="H96" s="56" t="s">
        <v>28</v>
      </c>
      <c r="I96" s="3"/>
      <c r="J96" s="56" t="s">
        <v>28</v>
      </c>
      <c r="K96" s="56" t="s">
        <v>28</v>
      </c>
      <c r="L96" s="3" t="s">
        <v>28</v>
      </c>
    </row>
    <row r="97" spans="1:15" ht="12">
      <c r="A97" s="21">
        <v>2393</v>
      </c>
      <c r="B97" s="1" t="e">
        <f>'SC4 MF- TDHCA'!#REF!</f>
        <v>#REF!</v>
      </c>
      <c r="C97" s="50" t="s">
        <v>156</v>
      </c>
      <c r="D97" s="56">
        <v>13045000</v>
      </c>
      <c r="E97" s="56">
        <v>13045000</v>
      </c>
      <c r="F97" s="3">
        <v>35432</v>
      </c>
      <c r="G97" s="3">
        <f>+F97+35</f>
        <v>35467</v>
      </c>
      <c r="H97" s="56" t="s">
        <v>28</v>
      </c>
      <c r="I97" s="3">
        <f>+F97+120</f>
        <v>35552</v>
      </c>
      <c r="J97" s="56" t="s">
        <v>28</v>
      </c>
      <c r="K97" s="56">
        <v>13045000</v>
      </c>
      <c r="L97" s="3">
        <v>35462</v>
      </c>
    </row>
    <row r="98" spans="1:15" ht="12">
      <c r="A98" s="21"/>
      <c r="B98" s="1" t="e">
        <f>'SC4 MF- TDHCA'!#REF!</f>
        <v>#REF!</v>
      </c>
      <c r="C98" s="50" t="s">
        <v>171</v>
      </c>
      <c r="D98" s="56"/>
      <c r="E98" s="56" t="s">
        <v>28</v>
      </c>
      <c r="F98" s="3" t="s">
        <v>28</v>
      </c>
      <c r="G98" s="3" t="s">
        <v>28</v>
      </c>
      <c r="H98" s="56" t="s">
        <v>28</v>
      </c>
      <c r="I98" s="3" t="s">
        <v>28</v>
      </c>
      <c r="J98" s="56" t="s">
        <v>28</v>
      </c>
      <c r="K98" s="56" t="s">
        <v>28</v>
      </c>
      <c r="L98" s="3" t="s">
        <v>28</v>
      </c>
    </row>
    <row r="99" spans="1:15" ht="12">
      <c r="A99" s="21"/>
      <c r="B99" s="1" t="e">
        <f>'SC4 MF- TDHCA'!#REF!</f>
        <v>#REF!</v>
      </c>
      <c r="C99" s="50" t="s">
        <v>128</v>
      </c>
      <c r="D99" s="56"/>
      <c r="F99" s="3"/>
      <c r="G99" s="3"/>
      <c r="I99" s="3"/>
      <c r="J99" s="56"/>
      <c r="K99" s="56"/>
      <c r="L99" s="3"/>
    </row>
    <row r="100" spans="1:15" ht="12">
      <c r="A100" s="21"/>
      <c r="B100" s="1" t="e">
        <f>'SC4 MF- TDHCA'!#REF!</f>
        <v>#REF!</v>
      </c>
      <c r="C100" s="50"/>
      <c r="D100" s="56"/>
      <c r="E100" s="56" t="s">
        <v>28</v>
      </c>
      <c r="F100" s="3" t="s">
        <v>28</v>
      </c>
      <c r="G100" s="3" t="s">
        <v>28</v>
      </c>
      <c r="H100" s="56" t="s">
        <v>28</v>
      </c>
      <c r="I100" s="3" t="s">
        <v>28</v>
      </c>
      <c r="J100" s="56" t="s">
        <v>28</v>
      </c>
      <c r="K100" s="56" t="s">
        <v>28</v>
      </c>
      <c r="L100" s="3"/>
    </row>
    <row r="101" spans="1:15" ht="12">
      <c r="A101" s="21">
        <v>58</v>
      </c>
      <c r="B101" s="1" t="e">
        <f>'SC4 MF- TDHCA'!#REF!</f>
        <v>#REF!</v>
      </c>
      <c r="C101" s="50" t="s">
        <v>222</v>
      </c>
      <c r="D101" s="56">
        <v>7250000</v>
      </c>
      <c r="E101" s="56" t="s">
        <v>28</v>
      </c>
      <c r="F101" s="3" t="s">
        <v>28</v>
      </c>
      <c r="G101" s="3" t="s">
        <v>28</v>
      </c>
      <c r="H101" s="56" t="s">
        <v>28</v>
      </c>
      <c r="I101" s="3" t="s">
        <v>28</v>
      </c>
      <c r="J101" s="56" t="s">
        <v>28</v>
      </c>
      <c r="K101" s="56" t="s">
        <v>28</v>
      </c>
      <c r="L101" s="3">
        <v>35434</v>
      </c>
    </row>
    <row r="102" spans="1:15" ht="12">
      <c r="A102" s="21"/>
      <c r="B102" s="1" t="e">
        <f>'SC4 MF- TDHCA'!#REF!</f>
        <v>#REF!</v>
      </c>
      <c r="C102" s="50" t="s">
        <v>147</v>
      </c>
      <c r="D102" s="56"/>
      <c r="E102" s="56" t="s">
        <v>28</v>
      </c>
      <c r="F102" s="3" t="s">
        <v>28</v>
      </c>
      <c r="G102" s="1" t="s">
        <v>28</v>
      </c>
      <c r="H102" s="56" t="s">
        <v>28</v>
      </c>
      <c r="I102" s="1" t="s">
        <v>28</v>
      </c>
      <c r="J102" s="56" t="s">
        <v>28</v>
      </c>
      <c r="K102" s="56" t="s">
        <v>28</v>
      </c>
      <c r="L102" s="1" t="s">
        <v>28</v>
      </c>
    </row>
    <row r="103" spans="1:15" ht="12">
      <c r="A103" s="21"/>
      <c r="B103" s="1" t="e">
        <f>'SC4 MF- TDHCA'!#REF!</f>
        <v>#REF!</v>
      </c>
      <c r="C103" s="50" t="s">
        <v>33</v>
      </c>
      <c r="D103" s="56"/>
      <c r="F103" s="3"/>
      <c r="J103" s="56"/>
      <c r="K103" s="56"/>
    </row>
    <row r="104" spans="1:15" ht="12">
      <c r="A104" s="21"/>
      <c r="B104" s="1" t="e">
        <f>'SC4 MF- TDHCA'!#REF!</f>
        <v>#REF!</v>
      </c>
      <c r="C104" s="50"/>
      <c r="D104" s="56"/>
      <c r="E104" s="56" t="s">
        <v>28</v>
      </c>
      <c r="F104" s="3" t="s">
        <v>28</v>
      </c>
      <c r="G104" s="1" t="s">
        <v>28</v>
      </c>
      <c r="H104" s="56" t="s">
        <v>28</v>
      </c>
      <c r="I104" s="1" t="s">
        <v>28</v>
      </c>
      <c r="J104" s="56" t="s">
        <v>28</v>
      </c>
      <c r="K104" s="56" t="s">
        <v>28</v>
      </c>
      <c r="L104" s="1" t="s">
        <v>28</v>
      </c>
    </row>
    <row r="105" spans="1:15" ht="12">
      <c r="A105" s="21">
        <v>2401</v>
      </c>
      <c r="B105" s="1" t="e">
        <f>'SC4 MF- TDHCA'!#REF!</f>
        <v>#REF!</v>
      </c>
      <c r="C105" s="50" t="s">
        <v>156</v>
      </c>
      <c r="D105" s="56">
        <v>8750000</v>
      </c>
      <c r="E105" s="56">
        <v>8750000</v>
      </c>
      <c r="F105" s="3">
        <v>35433</v>
      </c>
      <c r="G105" s="3">
        <f>+F105+35</f>
        <v>35468</v>
      </c>
      <c r="H105" s="56">
        <v>8750000</v>
      </c>
      <c r="I105" s="3">
        <f>+F105+120</f>
        <v>35553</v>
      </c>
      <c r="J105" s="56">
        <v>0</v>
      </c>
      <c r="K105" s="56">
        <v>8750000</v>
      </c>
      <c r="L105" s="3">
        <v>35495</v>
      </c>
    </row>
    <row r="106" spans="1:15" ht="12">
      <c r="A106" s="20"/>
      <c r="B106" s="12" t="e">
        <f>'SC4 MF- TDHCA'!#REF!</f>
        <v>#REF!</v>
      </c>
      <c r="C106" s="50" t="s">
        <v>140</v>
      </c>
      <c r="D106" s="56"/>
      <c r="E106" s="69" t="s">
        <v>28</v>
      </c>
      <c r="F106" s="3" t="s">
        <v>28</v>
      </c>
      <c r="G106" s="12" t="s">
        <v>28</v>
      </c>
      <c r="H106" s="56" t="s">
        <v>28</v>
      </c>
      <c r="I106" s="1" t="s">
        <v>28</v>
      </c>
      <c r="J106" s="56" t="s">
        <v>28</v>
      </c>
      <c r="K106" s="56" t="s">
        <v>28</v>
      </c>
      <c r="L106" s="1" t="s">
        <v>28</v>
      </c>
    </row>
    <row r="107" spans="1:15" ht="12">
      <c r="A107" s="20"/>
      <c r="B107" s="12" t="e">
        <f>'SC4 MF- TDHCA'!#REF!</f>
        <v>#REF!</v>
      </c>
      <c r="C107" s="50" t="s">
        <v>232</v>
      </c>
      <c r="D107" s="56"/>
      <c r="E107" s="69"/>
      <c r="F107" s="3"/>
      <c r="G107" s="12"/>
      <c r="J107" s="56"/>
      <c r="K107" s="56"/>
    </row>
    <row r="108" spans="1:15" s="26" customFormat="1">
      <c r="A108" s="20"/>
      <c r="B108" s="21" t="e">
        <f>'SC4 MF- TDHCA'!#REF!</f>
        <v>#REF!</v>
      </c>
      <c r="C108" s="22"/>
      <c r="D108" s="56"/>
      <c r="E108" s="71" t="s">
        <v>9</v>
      </c>
      <c r="F108" s="24" t="s">
        <v>28</v>
      </c>
      <c r="G108" s="24" t="s">
        <v>28</v>
      </c>
      <c r="H108" s="71" t="s">
        <v>28</v>
      </c>
      <c r="I108" s="24" t="s">
        <v>28</v>
      </c>
      <c r="J108" s="56" t="s">
        <v>28</v>
      </c>
      <c r="K108" s="56" t="s">
        <v>28</v>
      </c>
      <c r="L108" s="24" t="s">
        <v>28</v>
      </c>
      <c r="M108" s="5"/>
      <c r="N108" s="5"/>
      <c r="O108" s="5"/>
    </row>
    <row r="109" spans="1:15" ht="12">
      <c r="A109" s="21">
        <v>2403</v>
      </c>
      <c r="B109" s="1" t="e">
        <f>'SC4 MF- TDHCA'!#REF!</f>
        <v>#REF!</v>
      </c>
      <c r="C109" s="50" t="s">
        <v>156</v>
      </c>
      <c r="D109" s="56">
        <v>11250000</v>
      </c>
      <c r="E109" s="56">
        <v>11250000</v>
      </c>
      <c r="F109" s="3">
        <v>35437</v>
      </c>
      <c r="G109" s="3">
        <f>+F109+35</f>
        <v>35472</v>
      </c>
      <c r="H109" s="56">
        <v>11250000</v>
      </c>
      <c r="I109" s="3">
        <f>+F109+120</f>
        <v>35557</v>
      </c>
      <c r="J109" s="56">
        <v>0</v>
      </c>
      <c r="K109" s="56">
        <v>11250000</v>
      </c>
      <c r="L109" s="3">
        <v>35543</v>
      </c>
    </row>
    <row r="110" spans="1:15" ht="12">
      <c r="A110" s="20"/>
      <c r="B110" s="12" t="e">
        <f>'SC4 MF- TDHCA'!#REF!</f>
        <v>#REF!</v>
      </c>
      <c r="C110" s="50" t="s">
        <v>248</v>
      </c>
      <c r="D110" s="56"/>
      <c r="E110" s="69" t="s">
        <v>28</v>
      </c>
      <c r="F110" s="3" t="s">
        <v>28</v>
      </c>
      <c r="G110" s="12" t="s">
        <v>28</v>
      </c>
      <c r="H110" s="56" t="s">
        <v>28</v>
      </c>
      <c r="J110" s="56" t="s">
        <v>28</v>
      </c>
      <c r="K110" s="56" t="s">
        <v>28</v>
      </c>
      <c r="L110" s="1" t="s">
        <v>28</v>
      </c>
    </row>
    <row r="111" spans="1:15" ht="12">
      <c r="A111" s="20"/>
      <c r="B111" s="12" t="e">
        <f>'SC4 MF- TDHCA'!#REF!</f>
        <v>#REF!</v>
      </c>
      <c r="C111" s="50" t="s">
        <v>232</v>
      </c>
      <c r="D111" s="56"/>
      <c r="E111" s="69"/>
      <c r="F111" s="3"/>
      <c r="G111" s="12"/>
      <c r="J111" s="56"/>
      <c r="K111" s="56"/>
    </row>
    <row r="112" spans="1:15" ht="12">
      <c r="A112" s="20"/>
      <c r="B112" s="12" t="e">
        <f>'SC4 MF- TDHCA'!#REF!</f>
        <v>#REF!</v>
      </c>
      <c r="C112" s="50"/>
      <c r="D112" s="56"/>
      <c r="E112" s="69" t="s">
        <v>28</v>
      </c>
      <c r="F112" s="3" t="s">
        <v>28</v>
      </c>
      <c r="G112" s="12" t="s">
        <v>28</v>
      </c>
      <c r="H112" s="56" t="s">
        <v>28</v>
      </c>
      <c r="J112" s="56" t="s">
        <v>28</v>
      </c>
      <c r="K112" s="56" t="s">
        <v>28</v>
      </c>
      <c r="L112" s="1" t="s">
        <v>28</v>
      </c>
    </row>
    <row r="113" spans="1:15" ht="12">
      <c r="A113" s="21">
        <v>2436</v>
      </c>
      <c r="B113" s="1" t="e">
        <f>'SC4 MF- TDHCA'!#REF!</f>
        <v>#REF!</v>
      </c>
      <c r="C113" s="50" t="s">
        <v>172</v>
      </c>
      <c r="D113" s="56">
        <v>13350000</v>
      </c>
      <c r="E113" s="56">
        <v>13350000</v>
      </c>
      <c r="F113" s="3">
        <v>35462</v>
      </c>
      <c r="G113" s="3">
        <f>+F113+35</f>
        <v>35497</v>
      </c>
      <c r="H113" s="56">
        <v>13350000</v>
      </c>
      <c r="I113" s="3">
        <f>+F113+120</f>
        <v>35582</v>
      </c>
      <c r="J113" s="56">
        <v>12000000</v>
      </c>
      <c r="K113" s="56">
        <v>1350000</v>
      </c>
      <c r="L113" s="3">
        <v>35560</v>
      </c>
    </row>
    <row r="114" spans="1:15" ht="12">
      <c r="A114" s="20"/>
      <c r="B114" s="1" t="e">
        <f>'SC4 MF- TDHCA'!#REF!</f>
        <v>#REF!</v>
      </c>
      <c r="C114" s="50" t="s">
        <v>191</v>
      </c>
      <c r="D114" s="56"/>
      <c r="E114" s="69"/>
      <c r="F114" s="3" t="s">
        <v>28</v>
      </c>
      <c r="G114" s="4" t="s">
        <v>28</v>
      </c>
      <c r="H114" s="56" t="s">
        <v>28</v>
      </c>
      <c r="I114" s="3" t="s">
        <v>28</v>
      </c>
      <c r="J114" s="56" t="s">
        <v>28</v>
      </c>
      <c r="K114" s="56" t="s">
        <v>28</v>
      </c>
      <c r="L114" s="3" t="s">
        <v>28</v>
      </c>
    </row>
    <row r="115" spans="1:15" ht="12">
      <c r="A115" s="20"/>
      <c r="B115" s="1" t="e">
        <f>'SC4 MF- TDHCA'!#REF!</f>
        <v>#REF!</v>
      </c>
      <c r="C115" s="50" t="s">
        <v>245</v>
      </c>
      <c r="D115" s="56"/>
      <c r="E115" s="69"/>
      <c r="F115" s="3"/>
      <c r="G115" s="4"/>
      <c r="I115" s="3"/>
      <c r="J115" s="56"/>
      <c r="K115" s="56"/>
      <c r="L115" s="3"/>
    </row>
    <row r="116" spans="1:15" ht="12">
      <c r="A116" s="20"/>
      <c r="B116" s="1" t="e">
        <f>'SC4 MF- TDHCA'!#REF!</f>
        <v>#REF!</v>
      </c>
      <c r="C116" s="50"/>
      <c r="D116" s="56"/>
      <c r="E116" s="69"/>
      <c r="F116" s="3" t="s">
        <v>28</v>
      </c>
      <c r="G116" s="4" t="s">
        <v>28</v>
      </c>
      <c r="H116" s="56" t="s">
        <v>28</v>
      </c>
      <c r="I116" s="3" t="s">
        <v>28</v>
      </c>
      <c r="J116" s="56"/>
      <c r="K116" s="56" t="s">
        <v>28</v>
      </c>
      <c r="L116" s="3" t="s">
        <v>28</v>
      </c>
    </row>
    <row r="117" spans="1:15" ht="12">
      <c r="A117" s="21">
        <v>68</v>
      </c>
      <c r="B117" s="1" t="e">
        <f>'SC4 MF- TDHCA'!#REF!</f>
        <v>#REF!</v>
      </c>
      <c r="C117" s="50" t="s">
        <v>27</v>
      </c>
      <c r="D117" s="56">
        <v>7200000</v>
      </c>
      <c r="E117" s="56" t="s">
        <v>28</v>
      </c>
      <c r="F117" s="3" t="s">
        <v>28</v>
      </c>
      <c r="G117" s="3" t="s">
        <v>28</v>
      </c>
      <c r="H117" s="56" t="s">
        <v>28</v>
      </c>
      <c r="I117" s="3" t="s">
        <v>28</v>
      </c>
      <c r="J117" s="56" t="s">
        <v>28</v>
      </c>
      <c r="K117" s="56" t="s">
        <v>28</v>
      </c>
      <c r="L117" s="3">
        <v>35433</v>
      </c>
    </row>
    <row r="118" spans="1:15" ht="12">
      <c r="A118" s="21"/>
      <c r="B118" s="1" t="e">
        <f>'SC4 MF- TDHCA'!#REF!</f>
        <v>#REF!</v>
      </c>
      <c r="C118" s="51" t="s">
        <v>144</v>
      </c>
      <c r="D118" s="56"/>
      <c r="E118" s="69" t="s">
        <v>28</v>
      </c>
      <c r="F118" s="1" t="s">
        <v>28</v>
      </c>
      <c r="G118" s="12" t="s">
        <v>28</v>
      </c>
      <c r="H118" s="56" t="s">
        <v>28</v>
      </c>
      <c r="I118" s="1" t="s">
        <v>28</v>
      </c>
      <c r="J118" s="56" t="s">
        <v>28</v>
      </c>
      <c r="K118" s="56" t="s">
        <v>28</v>
      </c>
      <c r="L118" s="1" t="s">
        <v>28</v>
      </c>
    </row>
    <row r="119" spans="1:15" ht="12">
      <c r="A119" s="21"/>
      <c r="B119" s="1" t="e">
        <f>'SC4 MF- TDHCA'!#REF!</f>
        <v>#REF!</v>
      </c>
      <c r="C119" s="51" t="s">
        <v>96</v>
      </c>
      <c r="D119" s="56"/>
      <c r="E119" s="69"/>
      <c r="G119" s="12"/>
      <c r="J119" s="56"/>
      <c r="K119" s="56"/>
    </row>
    <row r="120" spans="1:15" ht="12">
      <c r="A120" s="20"/>
      <c r="B120" s="1" t="e">
        <f>'SC4 MF- TDHCA'!#REF!</f>
        <v>#REF!</v>
      </c>
      <c r="C120" s="50"/>
      <c r="D120" s="56"/>
      <c r="E120" s="69" t="s">
        <v>28</v>
      </c>
      <c r="G120" s="12" t="s">
        <v>28</v>
      </c>
      <c r="H120" s="56" t="s">
        <v>28</v>
      </c>
      <c r="I120" s="1" t="s">
        <v>28</v>
      </c>
      <c r="J120" s="56" t="s">
        <v>28</v>
      </c>
      <c r="K120" s="56" t="s">
        <v>28</v>
      </c>
      <c r="L120" s="1" t="s">
        <v>28</v>
      </c>
    </row>
    <row r="121" spans="1:15" ht="12">
      <c r="A121" s="21">
        <v>69</v>
      </c>
      <c r="B121" s="1" t="e">
        <f>'SC4 MF- TDHCA'!#REF!</f>
        <v>#REF!</v>
      </c>
      <c r="C121" s="50" t="s">
        <v>36</v>
      </c>
      <c r="D121" s="56">
        <v>11250000</v>
      </c>
      <c r="E121" s="56" t="s">
        <v>28</v>
      </c>
      <c r="F121" s="3" t="s">
        <v>28</v>
      </c>
      <c r="G121" s="3" t="s">
        <v>28</v>
      </c>
      <c r="H121" s="56" t="s">
        <v>28</v>
      </c>
      <c r="I121" s="3" t="s">
        <v>28</v>
      </c>
      <c r="J121" s="56" t="s">
        <v>28</v>
      </c>
      <c r="K121" s="56" t="s">
        <v>28</v>
      </c>
      <c r="L121" s="3">
        <v>35439</v>
      </c>
    </row>
    <row r="122" spans="1:15" ht="12">
      <c r="A122" s="21"/>
      <c r="B122" s="1" t="e">
        <f>'SC4 MF- TDHCA'!#REF!</f>
        <v>#REF!</v>
      </c>
      <c r="C122" s="50" t="s">
        <v>236</v>
      </c>
      <c r="D122" s="56"/>
      <c r="E122" s="69" t="s">
        <v>28</v>
      </c>
      <c r="F122" s="1" t="s">
        <v>28</v>
      </c>
      <c r="G122" s="12" t="s">
        <v>28</v>
      </c>
      <c r="H122" s="56" t="s">
        <v>28</v>
      </c>
      <c r="I122" s="1" t="s">
        <v>28</v>
      </c>
      <c r="J122" s="56" t="s">
        <v>28</v>
      </c>
      <c r="K122" s="56" t="s">
        <v>28</v>
      </c>
      <c r="L122" s="1" t="s">
        <v>28</v>
      </c>
    </row>
    <row r="123" spans="1:15" ht="12">
      <c r="A123" s="21"/>
      <c r="B123" s="1" t="e">
        <f>'SC4 MF- TDHCA'!#REF!</f>
        <v>#REF!</v>
      </c>
      <c r="C123" s="50" t="s">
        <v>232</v>
      </c>
      <c r="D123" s="56"/>
      <c r="E123" s="69"/>
      <c r="G123" s="12"/>
      <c r="J123" s="56"/>
      <c r="K123" s="56"/>
    </row>
    <row r="124" spans="1:15" s="26" customFormat="1">
      <c r="A124" s="20"/>
      <c r="B124" s="21" t="e">
        <f>'SC4 MF- TDHCA'!#REF!</f>
        <v>#REF!</v>
      </c>
      <c r="C124" s="22"/>
      <c r="D124" s="56"/>
      <c r="E124" s="71" t="s">
        <v>28</v>
      </c>
      <c r="F124" s="24" t="s">
        <v>28</v>
      </c>
      <c r="G124" s="24" t="s">
        <v>28</v>
      </c>
      <c r="H124" s="71" t="s">
        <v>28</v>
      </c>
      <c r="I124" s="24" t="s">
        <v>28</v>
      </c>
      <c r="J124" s="56" t="s">
        <v>28</v>
      </c>
      <c r="K124" s="56" t="s">
        <v>28</v>
      </c>
      <c r="L124" s="24" t="s">
        <v>28</v>
      </c>
      <c r="M124" s="5"/>
      <c r="N124" s="5"/>
      <c r="O124" s="5"/>
    </row>
    <row r="125" spans="1:15" ht="12">
      <c r="A125" s="21">
        <v>2437</v>
      </c>
      <c r="B125" s="1" t="e">
        <f>'SC4 MF- TDHCA'!#REF!</f>
        <v>#REF!</v>
      </c>
      <c r="C125" s="50" t="s">
        <v>38</v>
      </c>
      <c r="D125" s="56">
        <v>12700000</v>
      </c>
      <c r="E125" s="56">
        <v>12700000</v>
      </c>
      <c r="F125" s="3">
        <v>35472</v>
      </c>
      <c r="G125" s="3">
        <f>+F125+35</f>
        <v>35507</v>
      </c>
      <c r="H125" s="56">
        <v>12700000</v>
      </c>
      <c r="I125" s="3">
        <f>+F125+120</f>
        <v>35592</v>
      </c>
      <c r="J125" s="56">
        <v>8600000</v>
      </c>
      <c r="K125" s="56">
        <v>4100000</v>
      </c>
      <c r="L125" s="3">
        <v>35599</v>
      </c>
    </row>
    <row r="126" spans="1:15" ht="12">
      <c r="A126" s="21"/>
      <c r="B126" s="1" t="e">
        <f>'SC4 MF- TDHCA'!#REF!</f>
        <v>#REF!</v>
      </c>
      <c r="C126" s="50" t="s">
        <v>284</v>
      </c>
      <c r="D126" s="56"/>
      <c r="E126" s="56" t="s">
        <v>28</v>
      </c>
      <c r="F126" s="3" t="s">
        <v>28</v>
      </c>
      <c r="G126" s="3" t="s">
        <v>28</v>
      </c>
      <c r="H126" s="69" t="s">
        <v>28</v>
      </c>
      <c r="I126" s="4" t="s">
        <v>28</v>
      </c>
      <c r="J126" s="56" t="s">
        <v>28</v>
      </c>
      <c r="K126" s="56" t="s">
        <v>28</v>
      </c>
      <c r="L126" s="3" t="s">
        <v>28</v>
      </c>
    </row>
    <row r="127" spans="1:15" ht="12">
      <c r="A127" s="21"/>
      <c r="B127" s="1" t="e">
        <f>'SC4 MF- TDHCA'!#REF!</f>
        <v>#REF!</v>
      </c>
      <c r="C127" s="50" t="s">
        <v>130</v>
      </c>
      <c r="D127" s="56"/>
      <c r="F127" s="3"/>
      <c r="G127" s="3"/>
      <c r="H127" s="69"/>
      <c r="I127" s="4"/>
      <c r="J127" s="56"/>
      <c r="K127" s="56"/>
      <c r="L127" s="3"/>
    </row>
    <row r="128" spans="1:15" ht="12">
      <c r="A128" s="21"/>
      <c r="B128" s="1" t="e">
        <f>'SC4 MF- TDHCA'!#REF!</f>
        <v>#REF!</v>
      </c>
      <c r="C128" s="50"/>
      <c r="D128" s="56"/>
      <c r="E128" s="56" t="s">
        <v>28</v>
      </c>
      <c r="F128" s="3" t="s">
        <v>28</v>
      </c>
      <c r="G128" s="3" t="s">
        <v>28</v>
      </c>
      <c r="H128" s="69" t="s">
        <v>28</v>
      </c>
      <c r="I128" s="4" t="s">
        <v>28</v>
      </c>
      <c r="J128" s="56" t="s">
        <v>28</v>
      </c>
      <c r="K128" s="56" t="s">
        <v>28</v>
      </c>
      <c r="L128" s="3" t="s">
        <v>28</v>
      </c>
    </row>
    <row r="129" spans="1:12" ht="12">
      <c r="A129" s="21">
        <v>2438</v>
      </c>
      <c r="B129" s="1" t="e">
        <f>'SC4 MF- TDHCA'!#REF!</f>
        <v>#REF!</v>
      </c>
      <c r="C129" s="50" t="s">
        <v>156</v>
      </c>
      <c r="D129" s="56">
        <v>14100000</v>
      </c>
      <c r="E129" s="56">
        <v>14100000</v>
      </c>
      <c r="F129" s="3">
        <v>35473</v>
      </c>
      <c r="G129" s="3">
        <f>+F129+35</f>
        <v>35508</v>
      </c>
      <c r="H129" s="56">
        <v>14100000</v>
      </c>
      <c r="I129" s="3">
        <f>+F129+120</f>
        <v>35593</v>
      </c>
      <c r="J129" s="56">
        <v>0</v>
      </c>
      <c r="K129" s="56">
        <v>14100000</v>
      </c>
      <c r="L129" s="3">
        <v>35550</v>
      </c>
    </row>
    <row r="130" spans="1:12">
      <c r="A130" s="21"/>
      <c r="B130" s="1" t="e">
        <f>'SC4 MF- TDHCA'!#REF!</f>
        <v>#REF!</v>
      </c>
      <c r="C130" s="1" t="s">
        <v>40</v>
      </c>
      <c r="D130" s="56"/>
      <c r="E130" s="69" t="s">
        <v>28</v>
      </c>
      <c r="F130" s="1" t="s">
        <v>28</v>
      </c>
      <c r="G130" s="12" t="s">
        <v>28</v>
      </c>
      <c r="H130" s="56" t="s">
        <v>28</v>
      </c>
      <c r="I130" s="1" t="s">
        <v>28</v>
      </c>
      <c r="J130" s="56" t="s">
        <v>28</v>
      </c>
      <c r="K130" s="56" t="s">
        <v>28</v>
      </c>
      <c r="L130" s="1" t="s">
        <v>28</v>
      </c>
    </row>
    <row r="131" spans="1:12">
      <c r="A131" s="21"/>
      <c r="B131" s="1" t="e">
        <f>'SC4 MF- TDHCA'!#REF!</f>
        <v>#REF!</v>
      </c>
      <c r="C131" s="1" t="s">
        <v>128</v>
      </c>
      <c r="D131" s="56"/>
      <c r="E131" s="69"/>
      <c r="G131" s="12"/>
      <c r="J131" s="56"/>
      <c r="K131" s="56"/>
    </row>
    <row r="132" spans="1:12" ht="12">
      <c r="A132" s="21"/>
      <c r="B132" s="1" t="e">
        <f>'SC4 MF- TDHCA'!#REF!</f>
        <v>#REF!</v>
      </c>
      <c r="C132" s="50"/>
      <c r="D132" s="56"/>
      <c r="E132" s="69" t="s">
        <v>28</v>
      </c>
      <c r="F132" s="1" t="s">
        <v>28</v>
      </c>
      <c r="G132" s="12" t="s">
        <v>28</v>
      </c>
      <c r="H132" s="56" t="s">
        <v>28</v>
      </c>
      <c r="I132" s="1" t="s">
        <v>28</v>
      </c>
      <c r="J132" s="56" t="s">
        <v>28</v>
      </c>
      <c r="K132" s="56" t="s">
        <v>28</v>
      </c>
      <c r="L132" s="1" t="s">
        <v>28</v>
      </c>
    </row>
    <row r="133" spans="1:12" ht="12">
      <c r="A133" s="21">
        <v>2439</v>
      </c>
      <c r="B133" s="1" t="e">
        <f>'SC4 MF- TDHCA'!#REF!</f>
        <v>#REF!</v>
      </c>
      <c r="C133" s="50" t="s">
        <v>156</v>
      </c>
      <c r="D133" s="56">
        <v>13250000</v>
      </c>
      <c r="E133" s="56">
        <v>13250000</v>
      </c>
      <c r="F133" s="3">
        <v>35500</v>
      </c>
      <c r="G133" s="3">
        <f>+F133+35</f>
        <v>35535</v>
      </c>
      <c r="H133" s="56">
        <v>13250000</v>
      </c>
      <c r="I133" s="3">
        <f>+F133+120</f>
        <v>35620</v>
      </c>
      <c r="J133" s="86">
        <v>13250000</v>
      </c>
      <c r="K133" s="56">
        <v>0</v>
      </c>
      <c r="L133" s="3">
        <v>35536</v>
      </c>
    </row>
    <row r="134" spans="1:12" ht="12">
      <c r="A134" s="21"/>
      <c r="B134" s="1" t="e">
        <f>'SC4 MF- TDHCA'!#REF!</f>
        <v>#REF!</v>
      </c>
      <c r="C134" s="50" t="s">
        <v>55</v>
      </c>
      <c r="D134" s="56"/>
      <c r="E134" s="69" t="s">
        <v>28</v>
      </c>
      <c r="F134" s="1" t="s">
        <v>28</v>
      </c>
      <c r="G134" s="12" t="s">
        <v>28</v>
      </c>
      <c r="H134" s="56" t="s">
        <v>28</v>
      </c>
      <c r="I134" s="1" t="s">
        <v>28</v>
      </c>
      <c r="J134" s="56" t="s">
        <v>28</v>
      </c>
      <c r="K134" s="56" t="s">
        <v>28</v>
      </c>
      <c r="L134" s="1" t="s">
        <v>28</v>
      </c>
    </row>
    <row r="135" spans="1:12" ht="12">
      <c r="A135" s="21"/>
      <c r="B135" s="1" t="e">
        <f>'SC4 MF- TDHCA'!#REF!</f>
        <v>#REF!</v>
      </c>
      <c r="C135" s="50" t="s">
        <v>152</v>
      </c>
      <c r="D135" s="56"/>
      <c r="E135" s="69"/>
      <c r="G135" s="12"/>
      <c r="J135" s="56"/>
      <c r="K135" s="56"/>
    </row>
    <row r="136" spans="1:12" ht="12">
      <c r="A136" s="21"/>
      <c r="B136" s="1" t="e">
        <f>'SC4 MF- TDHCA'!#REF!</f>
        <v>#REF!</v>
      </c>
      <c r="C136" s="50"/>
      <c r="D136" s="56"/>
      <c r="E136" s="69" t="s">
        <v>28</v>
      </c>
      <c r="F136" s="1" t="s">
        <v>28</v>
      </c>
      <c r="G136" s="12" t="s">
        <v>28</v>
      </c>
      <c r="H136" s="56" t="s">
        <v>28</v>
      </c>
      <c r="I136" s="1" t="s">
        <v>28</v>
      </c>
      <c r="J136" s="56" t="s">
        <v>28</v>
      </c>
      <c r="K136" s="56" t="s">
        <v>28</v>
      </c>
      <c r="L136" s="1" t="s">
        <v>28</v>
      </c>
    </row>
    <row r="137" spans="1:12" ht="12">
      <c r="A137" s="21">
        <v>2440</v>
      </c>
      <c r="B137" s="1" t="e">
        <f>'SC4 MF- TDHCA'!#REF!</f>
        <v>#REF!</v>
      </c>
      <c r="C137" s="50" t="s">
        <v>156</v>
      </c>
      <c r="D137" s="56">
        <v>7500000</v>
      </c>
      <c r="E137" s="56">
        <v>7500000</v>
      </c>
      <c r="F137" s="3">
        <v>35521</v>
      </c>
      <c r="G137" s="3">
        <f>+F137+35</f>
        <v>35556</v>
      </c>
      <c r="H137" s="56">
        <v>7500000</v>
      </c>
      <c r="I137" s="3">
        <f>+F137+120</f>
        <v>35641</v>
      </c>
      <c r="J137" s="87">
        <v>7500000</v>
      </c>
      <c r="K137" s="56">
        <v>0</v>
      </c>
      <c r="L137" s="3">
        <v>35641</v>
      </c>
    </row>
    <row r="138" spans="1:12" ht="12">
      <c r="A138" s="21"/>
      <c r="B138" s="1" t="e">
        <f>'SC4 MF- TDHCA'!#REF!</f>
        <v>#REF!</v>
      </c>
      <c r="C138" s="50" t="s">
        <v>288</v>
      </c>
      <c r="D138" s="56"/>
      <c r="E138" s="56" t="s">
        <v>28</v>
      </c>
      <c r="F138" s="3" t="s">
        <v>28</v>
      </c>
      <c r="G138" s="3" t="s">
        <v>28</v>
      </c>
      <c r="H138" s="69" t="s">
        <v>28</v>
      </c>
      <c r="I138" s="4" t="s">
        <v>28</v>
      </c>
      <c r="J138" s="56" t="s">
        <v>28</v>
      </c>
      <c r="K138" s="56" t="s">
        <v>28</v>
      </c>
      <c r="L138" s="3" t="s">
        <v>28</v>
      </c>
    </row>
    <row r="139" spans="1:12" ht="12">
      <c r="A139" s="21"/>
      <c r="B139" s="1" t="e">
        <f>'SC4 MF- TDHCA'!#REF!</f>
        <v>#REF!</v>
      </c>
      <c r="C139" s="50" t="s">
        <v>44</v>
      </c>
      <c r="D139" s="56"/>
      <c r="F139" s="3"/>
      <c r="G139" s="3"/>
      <c r="H139" s="69"/>
      <c r="I139" s="4"/>
      <c r="J139" s="56"/>
      <c r="K139" s="56"/>
      <c r="L139" s="3"/>
    </row>
    <row r="140" spans="1:12" ht="12">
      <c r="A140" s="21"/>
      <c r="B140" s="1" t="e">
        <f>'SC4 MF- TDHCA'!#REF!</f>
        <v>#REF!</v>
      </c>
      <c r="C140" s="50"/>
      <c r="D140" s="56"/>
      <c r="E140" s="56" t="s">
        <v>28</v>
      </c>
      <c r="F140" s="3" t="s">
        <v>28</v>
      </c>
      <c r="G140" s="3"/>
      <c r="H140" s="69" t="s">
        <v>28</v>
      </c>
      <c r="I140" s="4" t="s">
        <v>28</v>
      </c>
      <c r="J140" s="56" t="s">
        <v>28</v>
      </c>
      <c r="K140" s="56" t="s">
        <v>28</v>
      </c>
      <c r="L140" s="3" t="s">
        <v>9</v>
      </c>
    </row>
    <row r="141" spans="1:12" ht="12">
      <c r="A141" s="20">
        <v>2441</v>
      </c>
      <c r="B141" s="12" t="e">
        <f>'SC4 MF- TDHCA'!#REF!</f>
        <v>#REF!</v>
      </c>
      <c r="C141" s="50" t="s">
        <v>38</v>
      </c>
      <c r="D141" s="56">
        <v>15000000</v>
      </c>
      <c r="E141" s="56">
        <v>15000000</v>
      </c>
      <c r="F141" s="3">
        <v>35549</v>
      </c>
      <c r="G141" s="3">
        <f>+F141+35</f>
        <v>35584</v>
      </c>
      <c r="H141" s="69">
        <v>15000000</v>
      </c>
      <c r="I141" s="4">
        <f>+F141+120</f>
        <v>35669</v>
      </c>
      <c r="J141" s="56" t="s">
        <v>28</v>
      </c>
      <c r="K141" s="56">
        <v>0</v>
      </c>
      <c r="L141" s="3">
        <v>35584</v>
      </c>
    </row>
    <row r="142" spans="1:12" ht="12">
      <c r="A142" s="21"/>
      <c r="B142" s="1" t="e">
        <f>'SC4 MF- TDHCA'!#REF!</f>
        <v>#REF!</v>
      </c>
      <c r="C142" s="50" t="s">
        <v>287</v>
      </c>
      <c r="D142" s="56"/>
      <c r="E142" s="56" t="s">
        <v>28</v>
      </c>
      <c r="F142" s="1" t="s">
        <v>28</v>
      </c>
      <c r="G142" s="12" t="s">
        <v>28</v>
      </c>
      <c r="H142" s="56" t="s">
        <v>28</v>
      </c>
      <c r="I142" s="1" t="s">
        <v>28</v>
      </c>
      <c r="J142" s="56" t="s">
        <v>28</v>
      </c>
      <c r="K142" s="56" t="s">
        <v>28</v>
      </c>
    </row>
    <row r="143" spans="1:12" ht="12">
      <c r="A143" s="21"/>
      <c r="B143" s="1" t="e">
        <f>'SC4 MF- TDHCA'!#REF!</f>
        <v>#REF!</v>
      </c>
      <c r="C143" s="50" t="s">
        <v>130</v>
      </c>
      <c r="D143" s="56"/>
      <c r="G143" s="12"/>
      <c r="J143" s="56"/>
      <c r="K143" s="56"/>
    </row>
    <row r="144" spans="1:12" ht="12">
      <c r="A144" s="21"/>
      <c r="B144" s="1" t="e">
        <f>'SC4 MF- TDHCA'!#REF!</f>
        <v>#REF!</v>
      </c>
      <c r="C144" s="50"/>
      <c r="D144" s="56"/>
      <c r="E144" s="56" t="s">
        <v>28</v>
      </c>
      <c r="F144" s="1" t="s">
        <v>28</v>
      </c>
      <c r="G144" s="12" t="s">
        <v>28</v>
      </c>
      <c r="H144" s="56" t="s">
        <v>28</v>
      </c>
      <c r="I144" s="1" t="s">
        <v>28</v>
      </c>
      <c r="J144" s="56" t="s">
        <v>28</v>
      </c>
      <c r="K144" s="56" t="s">
        <v>28</v>
      </c>
      <c r="L144" s="1" t="s">
        <v>28</v>
      </c>
    </row>
    <row r="145" spans="1:28" ht="12">
      <c r="A145" s="21">
        <v>86</v>
      </c>
      <c r="B145" s="1" t="e">
        <f>'SC4 MF- TDHCA'!#REF!</f>
        <v>#REF!</v>
      </c>
      <c r="C145" s="50" t="s">
        <v>156</v>
      </c>
      <c r="D145" s="56">
        <v>10600000</v>
      </c>
      <c r="E145" s="56" t="s">
        <v>28</v>
      </c>
      <c r="F145" s="3" t="s">
        <v>28</v>
      </c>
      <c r="G145" s="3" t="s">
        <v>28</v>
      </c>
      <c r="H145" s="56" t="s">
        <v>28</v>
      </c>
      <c r="I145" s="3" t="s">
        <v>28</v>
      </c>
      <c r="J145" s="56" t="s">
        <v>28</v>
      </c>
      <c r="K145" s="56" t="s">
        <v>28</v>
      </c>
      <c r="L145" s="3">
        <v>35551</v>
      </c>
    </row>
    <row r="146" spans="1:28" s="26" customFormat="1" ht="12">
      <c r="A146" s="21"/>
      <c r="B146" s="1" t="e">
        <f>'SC4 MF- TDHCA'!#REF!</f>
        <v>#REF!</v>
      </c>
      <c r="C146" s="50" t="s">
        <v>66</v>
      </c>
      <c r="D146" s="56"/>
      <c r="E146" s="71" t="s">
        <v>28</v>
      </c>
      <c r="F146" s="24"/>
      <c r="G146" s="24" t="s">
        <v>28</v>
      </c>
      <c r="H146" s="71" t="s">
        <v>28</v>
      </c>
      <c r="I146" s="23" t="s">
        <v>28</v>
      </c>
      <c r="J146" s="56" t="s">
        <v>28</v>
      </c>
      <c r="K146" s="56" t="s">
        <v>28</v>
      </c>
      <c r="L146" s="24" t="s">
        <v>28</v>
      </c>
    </row>
    <row r="147" spans="1:28" s="26" customFormat="1" ht="12">
      <c r="A147" s="21"/>
      <c r="B147" s="1" t="e">
        <f>'SC4 MF- TDHCA'!#REF!</f>
        <v>#REF!</v>
      </c>
      <c r="C147" s="50" t="s">
        <v>4</v>
      </c>
      <c r="D147" s="56"/>
      <c r="E147" s="71"/>
      <c r="F147" s="24"/>
      <c r="G147" s="24"/>
      <c r="H147" s="71"/>
      <c r="I147" s="23"/>
      <c r="J147" s="56"/>
      <c r="K147" s="56"/>
      <c r="L147" s="24"/>
    </row>
    <row r="148" spans="1:28" s="26" customFormat="1" ht="12">
      <c r="A148" s="21"/>
      <c r="B148" s="1" t="e">
        <f>'SC4 MF- TDHCA'!#REF!</f>
        <v>#REF!</v>
      </c>
      <c r="C148" s="50"/>
      <c r="D148" s="56"/>
      <c r="E148" s="71" t="s">
        <v>28</v>
      </c>
      <c r="F148" s="24" t="s">
        <v>28</v>
      </c>
      <c r="G148" s="24" t="s">
        <v>28</v>
      </c>
      <c r="H148" s="71" t="s">
        <v>28</v>
      </c>
      <c r="I148" s="23" t="s">
        <v>28</v>
      </c>
      <c r="J148" s="56" t="s">
        <v>28</v>
      </c>
      <c r="K148" s="56" t="s">
        <v>28</v>
      </c>
      <c r="L148" s="24" t="s">
        <v>28</v>
      </c>
    </row>
    <row r="149" spans="1:28" s="26" customFormat="1" ht="12.75" thickBot="1">
      <c r="A149" s="21">
        <v>2442</v>
      </c>
      <c r="B149" s="1" t="e">
        <f>'SC4 MF- TDHCA'!#REF!</f>
        <v>#REF!</v>
      </c>
      <c r="C149" s="50" t="s">
        <v>156</v>
      </c>
      <c r="D149" s="56">
        <v>11500000</v>
      </c>
      <c r="E149" s="56">
        <v>11500000</v>
      </c>
      <c r="F149" s="23">
        <v>35551</v>
      </c>
      <c r="G149" s="3">
        <f>+F149+35</f>
        <v>35586</v>
      </c>
      <c r="H149" s="72" t="s">
        <v>28</v>
      </c>
      <c r="I149" s="3">
        <f>+F149+120</f>
        <v>35671</v>
      </c>
      <c r="J149" s="56" t="s">
        <v>28</v>
      </c>
      <c r="K149" s="56">
        <v>11500000</v>
      </c>
      <c r="L149" s="23">
        <v>35585</v>
      </c>
    </row>
    <row r="150" spans="1:28" s="38" customFormat="1" ht="12">
      <c r="A150" s="20"/>
      <c r="B150" s="1" t="e">
        <f>'SC4 MF- TDHCA'!#REF!</f>
        <v>#REF!</v>
      </c>
      <c r="C150" s="50" t="s">
        <v>198</v>
      </c>
      <c r="D150" s="56"/>
      <c r="E150" s="71" t="s">
        <v>28</v>
      </c>
      <c r="F150" s="24" t="s">
        <v>28</v>
      </c>
      <c r="G150" s="24" t="s">
        <v>28</v>
      </c>
      <c r="H150" s="71" t="s">
        <v>28</v>
      </c>
      <c r="I150" s="24" t="s">
        <v>28</v>
      </c>
      <c r="J150" s="72" t="s">
        <v>28</v>
      </c>
      <c r="K150" s="56" t="s">
        <v>28</v>
      </c>
      <c r="L150" s="24" t="s">
        <v>28</v>
      </c>
      <c r="M150" s="5"/>
      <c r="N150" s="5"/>
      <c r="O150" s="5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s="26" customFormat="1" ht="12">
      <c r="A151" s="20"/>
      <c r="B151" s="1" t="e">
        <f>'SC4 MF- TDHCA'!#REF!</f>
        <v>#REF!</v>
      </c>
      <c r="C151" s="50" t="s">
        <v>44</v>
      </c>
      <c r="D151" s="56"/>
      <c r="E151" s="71"/>
      <c r="F151" s="24"/>
      <c r="G151" s="24"/>
      <c r="H151" s="71"/>
      <c r="I151" s="24"/>
      <c r="J151" s="72"/>
      <c r="K151" s="56"/>
      <c r="L151" s="24"/>
      <c r="M151" s="5"/>
      <c r="N151" s="5"/>
      <c r="O151" s="5"/>
    </row>
    <row r="152" spans="1:28" s="26" customFormat="1" ht="12">
      <c r="A152" s="20"/>
      <c r="B152" s="1" t="e">
        <f>'SC4 MF- TDHCA'!#REF!</f>
        <v>#REF!</v>
      </c>
      <c r="C152" s="50"/>
      <c r="D152" s="56"/>
      <c r="E152" s="71" t="s">
        <v>28</v>
      </c>
      <c r="F152" s="24" t="s">
        <v>28</v>
      </c>
      <c r="G152" s="24" t="s">
        <v>28</v>
      </c>
      <c r="H152" s="71" t="s">
        <v>28</v>
      </c>
      <c r="I152" s="24" t="s">
        <v>28</v>
      </c>
      <c r="J152" s="72" t="s">
        <v>28</v>
      </c>
      <c r="K152" s="56" t="s">
        <v>28</v>
      </c>
      <c r="L152" s="24" t="s">
        <v>28</v>
      </c>
      <c r="M152" s="5"/>
      <c r="N152" s="5"/>
      <c r="O152" s="5"/>
    </row>
    <row r="153" spans="1:28" s="26" customFormat="1" ht="12">
      <c r="A153" s="21">
        <v>2443</v>
      </c>
      <c r="B153" s="1" t="e">
        <f>'SC4 MF- TDHCA'!#REF!</f>
        <v>#REF!</v>
      </c>
      <c r="C153" s="50" t="s">
        <v>36</v>
      </c>
      <c r="D153" s="56">
        <v>8800000</v>
      </c>
      <c r="E153" s="56">
        <v>8800000</v>
      </c>
      <c r="F153" s="23">
        <v>35556</v>
      </c>
      <c r="G153" s="3">
        <f>+F153+35</f>
        <v>35591</v>
      </c>
      <c r="H153" s="72">
        <v>8800000</v>
      </c>
      <c r="I153" s="3">
        <f>+F153+120</f>
        <v>35676</v>
      </c>
      <c r="J153" s="72" t="s">
        <v>28</v>
      </c>
      <c r="K153" s="72">
        <v>8800000</v>
      </c>
      <c r="L153" s="23">
        <v>35588</v>
      </c>
      <c r="M153" s="5"/>
      <c r="N153" s="5"/>
      <c r="O153" s="5"/>
    </row>
    <row r="154" spans="1:28" s="14" customFormat="1" ht="12">
      <c r="A154" s="12"/>
      <c r="B154" s="1" t="e">
        <f>'SC4 MF- TDHCA'!#REF!</f>
        <v>#REF!</v>
      </c>
      <c r="C154" s="50" t="s">
        <v>157</v>
      </c>
      <c r="D154" s="56"/>
      <c r="E154" s="73" t="s">
        <v>28</v>
      </c>
      <c r="F154" s="4" t="s">
        <v>28</v>
      </c>
      <c r="G154" s="4" t="s">
        <v>28</v>
      </c>
      <c r="H154" s="73" t="s">
        <v>28</v>
      </c>
      <c r="I154" s="4" t="s">
        <v>28</v>
      </c>
      <c r="J154" s="72" t="s">
        <v>28</v>
      </c>
      <c r="K154" s="56" t="s">
        <v>28</v>
      </c>
      <c r="L154" s="4" t="s">
        <v>28</v>
      </c>
      <c r="M154" s="5"/>
      <c r="N154" s="5"/>
      <c r="O154" s="5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s="14" customFormat="1" ht="12">
      <c r="A155" s="12"/>
      <c r="B155" s="1" t="e">
        <f>'SC4 MF- TDHCA'!#REF!</f>
        <v>#REF!</v>
      </c>
      <c r="C155" s="50" t="s">
        <v>232</v>
      </c>
      <c r="D155" s="56"/>
      <c r="E155" s="73"/>
      <c r="F155" s="4"/>
      <c r="G155" s="4"/>
      <c r="H155" s="73"/>
      <c r="I155" s="4"/>
      <c r="J155" s="72"/>
      <c r="K155" s="56"/>
      <c r="L155" s="4"/>
      <c r="M155" s="5"/>
      <c r="N155" s="5"/>
      <c r="O155" s="5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s="14" customFormat="1" ht="12">
      <c r="A156" s="12"/>
      <c r="B156" s="1" t="e">
        <f>'SC4 MF- TDHCA'!#REF!</f>
        <v>#REF!</v>
      </c>
      <c r="C156" s="50"/>
      <c r="D156" s="56"/>
      <c r="E156" s="73" t="s">
        <v>28</v>
      </c>
      <c r="F156" s="4" t="s">
        <v>28</v>
      </c>
      <c r="G156" s="4" t="s">
        <v>28</v>
      </c>
      <c r="H156" s="73" t="s">
        <v>28</v>
      </c>
      <c r="I156" s="4" t="s">
        <v>28</v>
      </c>
      <c r="J156" s="72" t="s">
        <v>28</v>
      </c>
      <c r="K156" s="56" t="s">
        <v>28</v>
      </c>
      <c r="L156" s="4" t="s">
        <v>28</v>
      </c>
      <c r="M156" s="5"/>
      <c r="N156" s="5"/>
      <c r="O156" s="5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s="14" customFormat="1" ht="12">
      <c r="A157" s="1">
        <v>90</v>
      </c>
      <c r="B157" s="1" t="e">
        <f>'SC4 MF- TDHCA'!#REF!</f>
        <v>#REF!</v>
      </c>
      <c r="C157" s="50" t="s">
        <v>230</v>
      </c>
      <c r="D157" s="56">
        <v>8700000</v>
      </c>
      <c r="E157" s="73" t="s">
        <v>28</v>
      </c>
      <c r="F157" s="4" t="s">
        <v>28</v>
      </c>
      <c r="G157" s="4" t="s">
        <v>28</v>
      </c>
      <c r="H157" s="73" t="s">
        <v>28</v>
      </c>
      <c r="I157" s="4" t="s">
        <v>28</v>
      </c>
      <c r="J157" s="72" t="s">
        <v>28</v>
      </c>
      <c r="K157" s="56" t="s">
        <v>28</v>
      </c>
      <c r="L157" s="3">
        <v>35557</v>
      </c>
      <c r="M157" s="5"/>
      <c r="N157" s="5"/>
      <c r="O157" s="5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s="19" customFormat="1" ht="12.75" thickBot="1">
      <c r="A158" s="21"/>
      <c r="B158" s="1" t="e">
        <f>'SC4 MF- TDHCA'!#REF!</f>
        <v>#REF!</v>
      </c>
      <c r="C158" s="50" t="s">
        <v>219</v>
      </c>
      <c r="D158" s="56"/>
      <c r="E158" s="71" t="s">
        <v>28</v>
      </c>
      <c r="F158" s="24" t="s">
        <v>28</v>
      </c>
      <c r="G158" s="24" t="s">
        <v>28</v>
      </c>
      <c r="H158" s="71"/>
      <c r="I158" s="24" t="s">
        <v>28</v>
      </c>
      <c r="J158" s="72" t="s">
        <v>28</v>
      </c>
      <c r="K158" s="56" t="s">
        <v>28</v>
      </c>
      <c r="L158" s="24" t="s">
        <v>28</v>
      </c>
      <c r="M158" s="49"/>
      <c r="N158" s="49"/>
      <c r="O158" s="49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s="26" customFormat="1" ht="12">
      <c r="A159" s="21"/>
      <c r="B159" s="1" t="e">
        <f>'SC4 MF- TDHCA'!#REF!</f>
        <v>#REF!</v>
      </c>
      <c r="C159" s="50" t="s">
        <v>33</v>
      </c>
      <c r="D159" s="56"/>
      <c r="E159" s="71"/>
      <c r="F159" s="24"/>
      <c r="G159" s="24"/>
      <c r="H159" s="71"/>
      <c r="I159" s="24"/>
      <c r="J159" s="72"/>
      <c r="K159" s="56"/>
      <c r="L159" s="24"/>
      <c r="M159" s="49"/>
      <c r="N159" s="49"/>
      <c r="O159" s="49"/>
    </row>
    <row r="160" spans="1:28" s="26" customFormat="1" ht="12">
      <c r="A160" s="21"/>
      <c r="B160" s="1" t="e">
        <f>'SC4 MF- TDHCA'!#REF!</f>
        <v>#REF!</v>
      </c>
      <c r="C160" s="50"/>
      <c r="D160" s="56"/>
      <c r="E160" s="71" t="s">
        <v>28</v>
      </c>
      <c r="F160" s="24" t="s">
        <v>28</v>
      </c>
      <c r="G160" s="24" t="s">
        <v>28</v>
      </c>
      <c r="H160" s="71" t="s">
        <v>28</v>
      </c>
      <c r="I160" s="24" t="s">
        <v>28</v>
      </c>
      <c r="J160" s="72" t="s">
        <v>28</v>
      </c>
      <c r="K160" s="56" t="s">
        <v>28</v>
      </c>
      <c r="L160" s="24" t="s">
        <v>28</v>
      </c>
      <c r="M160" s="5"/>
      <c r="N160" s="5"/>
      <c r="O160" s="5"/>
    </row>
    <row r="161" spans="1:15" s="26" customFormat="1" ht="12">
      <c r="A161" s="20">
        <v>2446</v>
      </c>
      <c r="B161" s="12" t="e">
        <f>'SC4 MF- TDHCA'!#REF!</f>
        <v>#REF!</v>
      </c>
      <c r="C161" s="50" t="s">
        <v>156</v>
      </c>
      <c r="D161" s="56">
        <v>8600000</v>
      </c>
      <c r="E161" s="56">
        <v>8600000</v>
      </c>
      <c r="F161" s="23">
        <v>35560</v>
      </c>
      <c r="G161" s="3">
        <f>+F161+35</f>
        <v>35595</v>
      </c>
      <c r="H161" s="71">
        <v>8600000</v>
      </c>
      <c r="I161" s="4">
        <f>+F161+120</f>
        <v>35680</v>
      </c>
      <c r="J161" s="72" t="s">
        <v>28</v>
      </c>
      <c r="K161" s="56">
        <v>0</v>
      </c>
      <c r="L161" s="23">
        <v>35595</v>
      </c>
      <c r="M161" s="5"/>
      <c r="N161" s="5"/>
      <c r="O161" s="5"/>
    </row>
    <row r="162" spans="1:15" ht="12">
      <c r="A162" s="20"/>
      <c r="B162" s="1" t="e">
        <f>'SC4 MF- TDHCA'!#REF!</f>
        <v>#REF!</v>
      </c>
      <c r="C162" s="50" t="s">
        <v>220</v>
      </c>
      <c r="D162" s="56"/>
      <c r="E162" s="56" t="s">
        <v>28</v>
      </c>
      <c r="F162" s="3" t="s">
        <v>28</v>
      </c>
      <c r="G162" s="3" t="s">
        <v>28</v>
      </c>
      <c r="H162" s="69" t="s">
        <v>28</v>
      </c>
      <c r="I162" s="4" t="s">
        <v>28</v>
      </c>
      <c r="J162" s="72" t="s">
        <v>28</v>
      </c>
      <c r="K162" s="56" t="s">
        <v>28</v>
      </c>
      <c r="L162" s="3" t="s">
        <v>28</v>
      </c>
    </row>
    <row r="163" spans="1:15" ht="12">
      <c r="A163" s="20"/>
      <c r="B163" s="1" t="e">
        <f>'SC4 MF- TDHCA'!#REF!</f>
        <v>#REF!</v>
      </c>
      <c r="C163" s="50" t="s">
        <v>232</v>
      </c>
      <c r="D163" s="56"/>
      <c r="F163" s="3"/>
      <c r="G163" s="3"/>
      <c r="H163" s="69"/>
      <c r="I163" s="4"/>
      <c r="J163" s="72"/>
      <c r="K163" s="56"/>
      <c r="L163" s="3"/>
    </row>
    <row r="164" spans="1:15" ht="12">
      <c r="A164" s="20"/>
      <c r="B164" s="1" t="e">
        <f>'SC4 MF- TDHCA'!#REF!</f>
        <v>#REF!</v>
      </c>
      <c r="C164" s="50"/>
      <c r="D164" s="56"/>
      <c r="E164" s="56" t="s">
        <v>28</v>
      </c>
      <c r="F164" s="3" t="s">
        <v>28</v>
      </c>
      <c r="G164" s="3" t="s">
        <v>28</v>
      </c>
      <c r="H164" s="69" t="s">
        <v>28</v>
      </c>
      <c r="I164" s="4" t="s">
        <v>28</v>
      </c>
      <c r="J164" s="72" t="s">
        <v>28</v>
      </c>
      <c r="K164" s="56" t="s">
        <v>28</v>
      </c>
      <c r="L164" s="3" t="s">
        <v>28</v>
      </c>
    </row>
    <row r="165" spans="1:15" ht="12">
      <c r="A165" s="85">
        <v>2447</v>
      </c>
      <c r="B165" s="12" t="e">
        <f>'SC4 MF- TDHCA'!#REF!</f>
        <v>#REF!</v>
      </c>
      <c r="C165" s="1" t="s">
        <v>156</v>
      </c>
      <c r="D165" s="56">
        <v>11795000</v>
      </c>
      <c r="E165" s="56">
        <v>11795000</v>
      </c>
      <c r="F165" s="3">
        <v>35565</v>
      </c>
      <c r="G165" s="3">
        <f>+F165+35</f>
        <v>35600</v>
      </c>
      <c r="H165" s="69">
        <v>11795000</v>
      </c>
      <c r="I165" s="4">
        <f>+F165+120</f>
        <v>35685</v>
      </c>
      <c r="J165" s="72" t="s">
        <v>28</v>
      </c>
      <c r="K165" s="56">
        <v>0</v>
      </c>
      <c r="L165" s="3">
        <v>35600</v>
      </c>
    </row>
    <row r="166" spans="1:15" ht="12">
      <c r="A166" s="51"/>
      <c r="B166" s="1" t="e">
        <f>'SC4 MF- TDHCA'!#REF!</f>
        <v>#REF!</v>
      </c>
      <c r="C166" s="50" t="s">
        <v>228</v>
      </c>
      <c r="D166" s="56"/>
      <c r="E166" s="56" t="s">
        <v>28</v>
      </c>
      <c r="F166" s="3"/>
      <c r="G166" s="3" t="s">
        <v>28</v>
      </c>
      <c r="H166" s="69" t="s">
        <v>9</v>
      </c>
      <c r="I166" s="4" t="s">
        <v>28</v>
      </c>
      <c r="J166" s="72"/>
      <c r="K166" s="56" t="s">
        <v>28</v>
      </c>
      <c r="L166" s="3" t="s">
        <v>28</v>
      </c>
    </row>
    <row r="167" spans="1:15" ht="12">
      <c r="A167" s="51"/>
      <c r="B167" s="1" t="e">
        <f>'SC4 MF- TDHCA'!#REF!</f>
        <v>#REF!</v>
      </c>
      <c r="C167" s="50" t="s">
        <v>44</v>
      </c>
      <c r="D167" s="56"/>
      <c r="F167" s="3"/>
      <c r="G167" s="3"/>
      <c r="H167" s="69"/>
      <c r="I167" s="4"/>
      <c r="J167" s="72"/>
      <c r="K167" s="56"/>
      <c r="L167" s="3"/>
    </row>
    <row r="168" spans="1:15" ht="12">
      <c r="A168" s="51"/>
      <c r="B168" s="1" t="e">
        <f>'SC4 MF- TDHCA'!#REF!</f>
        <v>#REF!</v>
      </c>
      <c r="C168" s="50"/>
      <c r="D168" s="56"/>
      <c r="E168" s="56" t="s">
        <v>28</v>
      </c>
      <c r="F168" s="3" t="s">
        <v>28</v>
      </c>
      <c r="G168" s="3" t="s">
        <v>28</v>
      </c>
      <c r="H168" s="69"/>
      <c r="I168" s="4" t="s">
        <v>28</v>
      </c>
      <c r="J168" s="72" t="s">
        <v>28</v>
      </c>
      <c r="K168" s="56" t="s">
        <v>28</v>
      </c>
      <c r="L168" s="3" t="s">
        <v>28</v>
      </c>
    </row>
    <row r="169" spans="1:15" ht="12">
      <c r="A169" s="85">
        <v>2452</v>
      </c>
      <c r="B169" s="12" t="e">
        <f>'SC4 MF- TDHCA'!#REF!</f>
        <v>#REF!</v>
      </c>
      <c r="C169" s="50" t="s">
        <v>156</v>
      </c>
      <c r="D169" s="56">
        <v>10995000</v>
      </c>
      <c r="E169" s="56">
        <v>10995000</v>
      </c>
      <c r="F169" s="3">
        <v>35586</v>
      </c>
      <c r="G169" s="3">
        <f>+F169+35</f>
        <v>35621</v>
      </c>
      <c r="H169" s="69">
        <v>10995000</v>
      </c>
      <c r="I169" s="4">
        <f>+F169+120</f>
        <v>35706</v>
      </c>
      <c r="J169" s="72" t="s">
        <v>28</v>
      </c>
      <c r="K169" s="56">
        <v>0</v>
      </c>
      <c r="L169" s="3">
        <v>35621</v>
      </c>
    </row>
    <row r="170" spans="1:15" ht="12">
      <c r="A170" s="51"/>
      <c r="B170" s="1" t="e">
        <f>'SC4 MF- TDHCA'!#REF!</f>
        <v>#REF!</v>
      </c>
      <c r="C170" s="50" t="s">
        <v>229</v>
      </c>
      <c r="D170" s="56"/>
      <c r="F170" s="3" t="s">
        <v>28</v>
      </c>
      <c r="G170" s="3" t="s">
        <v>28</v>
      </c>
      <c r="H170" s="69"/>
      <c r="I170" s="4" t="s">
        <v>28</v>
      </c>
      <c r="J170" s="72" t="s">
        <v>28</v>
      </c>
      <c r="K170" s="56" t="s">
        <v>28</v>
      </c>
      <c r="L170" s="3" t="s">
        <v>28</v>
      </c>
    </row>
    <row r="171" spans="1:15" ht="12">
      <c r="A171" s="51"/>
      <c r="B171" s="1" t="e">
        <f>'SC4 MF- TDHCA'!#REF!</f>
        <v>#REF!</v>
      </c>
      <c r="C171" s="50" t="s">
        <v>44</v>
      </c>
      <c r="D171" s="56"/>
      <c r="F171" s="3"/>
      <c r="G171" s="3"/>
      <c r="H171" s="69"/>
      <c r="I171" s="4"/>
      <c r="J171" s="72"/>
      <c r="K171" s="56"/>
      <c r="L171" s="3"/>
    </row>
    <row r="172" spans="1:15" ht="12">
      <c r="A172" s="51"/>
      <c r="B172" s="1" t="e">
        <f>'SC4 MF- TDHCA'!#REF!</f>
        <v>#REF!</v>
      </c>
      <c r="C172" s="50"/>
      <c r="D172" s="56"/>
      <c r="F172" s="3" t="s">
        <v>28</v>
      </c>
      <c r="G172" s="3" t="s">
        <v>28</v>
      </c>
      <c r="H172" s="69"/>
      <c r="I172" s="4" t="s">
        <v>28</v>
      </c>
      <c r="J172" s="72" t="s">
        <v>28</v>
      </c>
      <c r="K172" s="56" t="s">
        <v>28</v>
      </c>
      <c r="L172" s="3" t="s">
        <v>28</v>
      </c>
    </row>
    <row r="173" spans="1:15" ht="12">
      <c r="A173" s="85">
        <v>2454</v>
      </c>
      <c r="B173" s="12" t="e">
        <f>'SC4 MF- TDHCA'!#REF!</f>
        <v>#REF!</v>
      </c>
      <c r="C173" s="1" t="s">
        <v>36</v>
      </c>
      <c r="D173" s="69">
        <v>9549000</v>
      </c>
      <c r="E173" s="69">
        <v>9549000</v>
      </c>
      <c r="F173" s="4">
        <v>35602</v>
      </c>
      <c r="G173" s="4">
        <f>+F173+35</f>
        <v>35637</v>
      </c>
      <c r="H173" s="69">
        <v>9549000</v>
      </c>
      <c r="I173" s="4">
        <f>+F173+120</f>
        <v>35722</v>
      </c>
      <c r="J173" s="72" t="s">
        <v>28</v>
      </c>
      <c r="K173" s="56" t="s">
        <v>28</v>
      </c>
      <c r="L173" s="3" t="s">
        <v>28</v>
      </c>
    </row>
    <row r="174" spans="1:15" ht="12">
      <c r="A174" s="78" t="s">
        <v>28</v>
      </c>
      <c r="B174" s="1" t="e">
        <f>'SC4 MF- TDHCA'!#REF!</f>
        <v>#REF!</v>
      </c>
      <c r="C174" s="50" t="s">
        <v>263</v>
      </c>
      <c r="D174" s="56"/>
      <c r="E174" s="56" t="s">
        <v>28</v>
      </c>
      <c r="F174" s="3" t="s">
        <v>28</v>
      </c>
      <c r="G174" s="3" t="s">
        <v>28</v>
      </c>
      <c r="H174" s="56" t="s">
        <v>28</v>
      </c>
      <c r="I174" s="3" t="s">
        <v>28</v>
      </c>
      <c r="J174" s="72" t="s">
        <v>28</v>
      </c>
      <c r="K174" s="56" t="s">
        <v>28</v>
      </c>
      <c r="L174" s="3" t="s">
        <v>28</v>
      </c>
    </row>
    <row r="175" spans="1:15" ht="12">
      <c r="A175" s="78"/>
      <c r="B175" s="1" t="e">
        <f>'SC4 MF- TDHCA'!#REF!</f>
        <v>#REF!</v>
      </c>
      <c r="C175" s="50" t="s">
        <v>232</v>
      </c>
      <c r="D175" s="56"/>
      <c r="F175" s="3"/>
      <c r="G175" s="3"/>
      <c r="I175" s="3"/>
      <c r="J175" s="72"/>
      <c r="K175" s="56"/>
      <c r="L175" s="3"/>
    </row>
    <row r="176" spans="1:15" ht="12">
      <c r="A176" s="51"/>
      <c r="B176" s="1" t="e">
        <f>'SC4 MF- TDHCA'!#REF!</f>
        <v>#REF!</v>
      </c>
      <c r="C176" s="50"/>
      <c r="D176" s="56"/>
      <c r="E176" s="56" t="s">
        <v>28</v>
      </c>
      <c r="F176" s="3" t="s">
        <v>28</v>
      </c>
      <c r="G176" s="3" t="s">
        <v>28</v>
      </c>
      <c r="H176" s="69" t="s">
        <v>28</v>
      </c>
      <c r="I176" s="4" t="s">
        <v>28</v>
      </c>
      <c r="J176" s="72" t="s">
        <v>28</v>
      </c>
      <c r="K176" s="56" t="s">
        <v>28</v>
      </c>
      <c r="L176" s="3" t="s">
        <v>28</v>
      </c>
    </row>
    <row r="177" spans="1:16" ht="12">
      <c r="A177" s="85">
        <v>2459</v>
      </c>
      <c r="B177" s="91" t="e">
        <f>'SC4 MF- TDHCA'!#REF!</f>
        <v>#REF!</v>
      </c>
      <c r="C177" s="92" t="s">
        <v>156</v>
      </c>
      <c r="D177" s="93">
        <v>11500000</v>
      </c>
      <c r="E177" s="93">
        <v>11500000</v>
      </c>
      <c r="F177" s="94">
        <v>35656</v>
      </c>
      <c r="G177" s="94">
        <f>+F177+35</f>
        <v>35691</v>
      </c>
      <c r="H177" s="95" t="s">
        <v>28</v>
      </c>
      <c r="I177" s="94">
        <f>+F177+120</f>
        <v>35776</v>
      </c>
      <c r="J177" s="96" t="s">
        <v>28</v>
      </c>
      <c r="K177" s="95" t="s">
        <v>28</v>
      </c>
      <c r="L177" s="97" t="s">
        <v>28</v>
      </c>
      <c r="M177" s="95" t="e">
        <f>IF(B177="withdrew",0,D177)</f>
        <v>#REF!</v>
      </c>
      <c r="N177" s="98" t="e">
        <f>SUM(M177)</f>
        <v>#REF!</v>
      </c>
      <c r="O177" s="98" t="e">
        <f>SUM($E$1-N177)</f>
        <v>#REF!</v>
      </c>
      <c r="P177" s="99" t="e">
        <f>SUM(N177:O177)</f>
        <v>#REF!</v>
      </c>
    </row>
    <row r="178" spans="1:16" ht="12">
      <c r="A178" s="51"/>
      <c r="B178" s="1" t="e">
        <f>'SC4 MF- TDHCA'!#REF!</f>
        <v>#REF!</v>
      </c>
      <c r="C178" s="50" t="s">
        <v>18</v>
      </c>
      <c r="D178" s="56"/>
      <c r="E178" s="56" t="s">
        <v>28</v>
      </c>
      <c r="F178" s="3" t="s">
        <v>28</v>
      </c>
      <c r="G178" s="4" t="s">
        <v>28</v>
      </c>
      <c r="H178" s="69" t="s">
        <v>28</v>
      </c>
      <c r="I178" s="4" t="s">
        <v>28</v>
      </c>
      <c r="J178" s="72" t="s">
        <v>28</v>
      </c>
      <c r="K178" s="56" t="s">
        <v>28</v>
      </c>
      <c r="L178" s="3" t="s">
        <v>28</v>
      </c>
    </row>
    <row r="179" spans="1:16" ht="12">
      <c r="A179" s="51"/>
      <c r="B179" s="1" t="e">
        <f>'SC4 MF- TDHCA'!#REF!</f>
        <v>#REF!</v>
      </c>
      <c r="C179" s="50" t="s">
        <v>44</v>
      </c>
      <c r="D179" s="56"/>
      <c r="F179" s="3"/>
      <c r="G179" s="4"/>
      <c r="H179" s="69"/>
      <c r="I179" s="4"/>
      <c r="J179" s="72"/>
      <c r="K179" s="56"/>
      <c r="L179" s="3"/>
    </row>
    <row r="180" spans="1:16" ht="12">
      <c r="A180" s="51"/>
      <c r="B180" s="1" t="e">
        <f>'SC4 MF- TDHCA'!#REF!</f>
        <v>#REF!</v>
      </c>
      <c r="C180" s="50"/>
      <c r="D180" s="56"/>
      <c r="E180" s="56" t="s">
        <v>28</v>
      </c>
      <c r="F180" s="3" t="s">
        <v>28</v>
      </c>
      <c r="G180" s="4" t="s">
        <v>28</v>
      </c>
      <c r="H180" s="69" t="s">
        <v>28</v>
      </c>
      <c r="I180" s="4" t="s">
        <v>28</v>
      </c>
      <c r="J180" s="72" t="s">
        <v>28</v>
      </c>
      <c r="K180" s="56" t="s">
        <v>28</v>
      </c>
      <c r="L180" s="3" t="s">
        <v>28</v>
      </c>
    </row>
    <row r="181" spans="1:16" ht="12">
      <c r="A181" s="85">
        <v>2460</v>
      </c>
      <c r="B181" s="12" t="e">
        <f>'SC4 MF- TDHCA'!#REF!</f>
        <v>#REF!</v>
      </c>
      <c r="C181" s="50" t="s">
        <v>156</v>
      </c>
      <c r="D181" s="69">
        <v>11500000</v>
      </c>
      <c r="E181" s="69">
        <v>11500000</v>
      </c>
      <c r="F181" s="4">
        <v>35656</v>
      </c>
      <c r="G181" s="4">
        <f>+F181+35</f>
        <v>35691</v>
      </c>
      <c r="H181" s="56" t="s">
        <v>28</v>
      </c>
      <c r="I181" s="4">
        <f>+F181+120</f>
        <v>35776</v>
      </c>
      <c r="J181" s="72" t="s">
        <v>28</v>
      </c>
      <c r="K181" s="56" t="s">
        <v>28</v>
      </c>
      <c r="L181" s="1" t="s">
        <v>28</v>
      </c>
      <c r="M181" s="56" t="e">
        <f>IF(B181="withdrew",0,D181)</f>
        <v>#REF!</v>
      </c>
      <c r="N181" s="76" t="e">
        <f>SUM(M$177:M181)</f>
        <v>#REF!</v>
      </c>
      <c r="O181" s="76" t="e">
        <f>SUM($E$1-N181)</f>
        <v>#REF!</v>
      </c>
      <c r="P181" s="89" t="e">
        <f>SUM(N181:O181)</f>
        <v>#REF!</v>
      </c>
    </row>
    <row r="182" spans="1:16" ht="12">
      <c r="A182" s="51"/>
      <c r="B182" s="1" t="e">
        <f>'SC4 MF- TDHCA'!#REF!</f>
        <v>#REF!</v>
      </c>
      <c r="C182" s="50" t="s">
        <v>89</v>
      </c>
      <c r="D182" s="56"/>
      <c r="E182" s="56" t="s">
        <v>28</v>
      </c>
      <c r="F182" s="1" t="s">
        <v>28</v>
      </c>
      <c r="G182" s="1" t="s">
        <v>28</v>
      </c>
      <c r="H182" s="56" t="s">
        <v>28</v>
      </c>
      <c r="I182" s="1" t="s">
        <v>28</v>
      </c>
      <c r="J182" s="72" t="s">
        <v>28</v>
      </c>
      <c r="K182" s="56" t="s">
        <v>28</v>
      </c>
      <c r="L182" s="1" t="s">
        <v>28</v>
      </c>
    </row>
    <row r="183" spans="1:16" ht="12">
      <c r="A183" s="51"/>
      <c r="B183" s="1" t="e">
        <f>'SC4 MF- TDHCA'!#REF!</f>
        <v>#REF!</v>
      </c>
      <c r="C183" s="50" t="s">
        <v>96</v>
      </c>
      <c r="D183" s="56"/>
      <c r="J183" s="72"/>
      <c r="K183" s="56"/>
    </row>
    <row r="184" spans="1:16" ht="12">
      <c r="A184" s="51"/>
      <c r="B184" s="1" t="e">
        <f>'SC4 MF- TDHCA'!#REF!</f>
        <v>#REF!</v>
      </c>
      <c r="C184" s="50"/>
      <c r="D184" s="56"/>
      <c r="E184" s="56" t="s">
        <v>28</v>
      </c>
      <c r="F184" s="1" t="s">
        <v>28</v>
      </c>
      <c r="G184" s="1" t="s">
        <v>28</v>
      </c>
      <c r="H184" s="56" t="s">
        <v>28</v>
      </c>
      <c r="I184" s="1" t="s">
        <v>28</v>
      </c>
      <c r="J184" s="72" t="s">
        <v>28</v>
      </c>
      <c r="K184" s="56" t="s">
        <v>28</v>
      </c>
    </row>
    <row r="185" spans="1:16" ht="12">
      <c r="A185" s="78">
        <v>104</v>
      </c>
      <c r="B185" s="12" t="e">
        <f>'SC4 MF- TDHCA'!#REF!</f>
        <v>#REF!</v>
      </c>
      <c r="C185" s="50" t="s">
        <v>38</v>
      </c>
      <c r="D185" s="56">
        <v>8000000</v>
      </c>
      <c r="E185" s="90" t="e">
        <f>IF(O185&gt;0,M185,0)</f>
        <v>#REF!</v>
      </c>
      <c r="F185" s="3" t="s">
        <v>28</v>
      </c>
      <c r="G185" s="3" t="s">
        <v>28</v>
      </c>
      <c r="H185" s="56" t="s">
        <v>28</v>
      </c>
      <c r="I185" s="3" t="s">
        <v>28</v>
      </c>
      <c r="J185" s="72"/>
      <c r="K185" s="56" t="s">
        <v>28</v>
      </c>
      <c r="L185" s="3">
        <v>35447</v>
      </c>
      <c r="M185" s="56" t="e">
        <f>IF(B185="withdrew",0,D185)</f>
        <v>#REF!</v>
      </c>
      <c r="N185" s="76" t="e">
        <f>SUM(M$177:M185)</f>
        <v>#REF!</v>
      </c>
      <c r="O185" s="76" t="e">
        <f>SUM($E$1-N185)</f>
        <v>#REF!</v>
      </c>
      <c r="P185" s="89" t="e">
        <f>SUM(N185:O185)</f>
        <v>#REF!</v>
      </c>
    </row>
    <row r="186" spans="1:16" ht="12">
      <c r="A186" s="51"/>
      <c r="B186" s="1" t="e">
        <f>'SC4 MF- TDHCA'!#REF!</f>
        <v>#REF!</v>
      </c>
      <c r="C186" s="50" t="s">
        <v>90</v>
      </c>
      <c r="D186" s="56"/>
      <c r="E186" s="56" t="s">
        <v>28</v>
      </c>
      <c r="G186" s="1" t="s">
        <v>28</v>
      </c>
      <c r="H186" s="56" t="s">
        <v>28</v>
      </c>
      <c r="I186" s="1" t="s">
        <v>28</v>
      </c>
      <c r="J186" s="72" t="s">
        <v>28</v>
      </c>
      <c r="K186" s="56" t="s">
        <v>28</v>
      </c>
      <c r="L186" s="1" t="s">
        <v>28</v>
      </c>
    </row>
    <row r="187" spans="1:16" ht="12">
      <c r="A187" s="51"/>
      <c r="B187" s="1" t="e">
        <f>'SC4 MF- TDHCA'!#REF!</f>
        <v>#REF!</v>
      </c>
      <c r="C187" s="50" t="s">
        <v>130</v>
      </c>
      <c r="D187" s="56"/>
      <c r="J187" s="72"/>
      <c r="K187" s="56"/>
    </row>
    <row r="188" spans="1:16" ht="12">
      <c r="A188" s="51"/>
      <c r="B188" s="1" t="e">
        <f>'SC4 MF- TDHCA'!#REF!</f>
        <v>#REF!</v>
      </c>
      <c r="C188" s="50"/>
      <c r="D188" s="56"/>
      <c r="E188" s="56" t="s">
        <v>28</v>
      </c>
      <c r="F188" s="1" t="s">
        <v>28</v>
      </c>
      <c r="G188" s="1" t="s">
        <v>28</v>
      </c>
      <c r="H188" s="56" t="s">
        <v>28</v>
      </c>
      <c r="I188" s="1" t="s">
        <v>28</v>
      </c>
      <c r="J188" s="72" t="s">
        <v>28</v>
      </c>
      <c r="K188" s="56"/>
      <c r="L188" s="1" t="s">
        <v>28</v>
      </c>
    </row>
    <row r="189" spans="1:16" ht="12">
      <c r="A189" s="85">
        <v>2461</v>
      </c>
      <c r="B189" s="12" t="e">
        <f>'SC4 MF- TDHCA'!#REF!</f>
        <v>#REF!</v>
      </c>
      <c r="C189" s="1" t="s">
        <v>156</v>
      </c>
      <c r="D189" s="69">
        <v>11250000</v>
      </c>
      <c r="E189" s="69">
        <v>11250000</v>
      </c>
      <c r="F189" s="3">
        <v>35656</v>
      </c>
      <c r="G189" s="4">
        <f>+F189+35</f>
        <v>35691</v>
      </c>
      <c r="H189" s="74" t="s">
        <v>28</v>
      </c>
      <c r="I189" s="4">
        <f>+F189+120</f>
        <v>35776</v>
      </c>
      <c r="J189" s="72" t="s">
        <v>28</v>
      </c>
      <c r="K189" s="56" t="s">
        <v>28</v>
      </c>
      <c r="L189" s="3"/>
      <c r="M189" s="56" t="e">
        <f>IF(B189="withdrew",0,D189)</f>
        <v>#REF!</v>
      </c>
      <c r="N189" s="76" t="e">
        <f>SUM(M$177:M189)</f>
        <v>#REF!</v>
      </c>
      <c r="O189" s="76" t="e">
        <f>SUM($E$1-N189)</f>
        <v>#REF!</v>
      </c>
      <c r="P189" s="89" t="e">
        <f>SUM(N189:O189)</f>
        <v>#REF!</v>
      </c>
    </row>
    <row r="190" spans="1:16" ht="12">
      <c r="A190" s="51"/>
      <c r="B190" s="1" t="e">
        <f>'SC4 MF- TDHCA'!#REF!</f>
        <v>#REF!</v>
      </c>
      <c r="C190" s="50" t="s">
        <v>94</v>
      </c>
      <c r="D190" s="56"/>
      <c r="E190" s="74" t="s">
        <v>28</v>
      </c>
      <c r="F190" s="3" t="s">
        <v>28</v>
      </c>
      <c r="G190" s="4" t="s">
        <v>28</v>
      </c>
      <c r="H190" s="74" t="s">
        <v>28</v>
      </c>
      <c r="I190" s="4" t="s">
        <v>28</v>
      </c>
      <c r="J190" s="72" t="s">
        <v>28</v>
      </c>
      <c r="K190" s="56" t="s">
        <v>28</v>
      </c>
      <c r="L190" s="3"/>
    </row>
    <row r="191" spans="1:16" ht="12">
      <c r="A191" s="51"/>
      <c r="B191" s="1" t="e">
        <f>'SC4 MF- TDHCA'!#REF!</f>
        <v>#REF!</v>
      </c>
      <c r="C191" s="50" t="s">
        <v>232</v>
      </c>
      <c r="D191" s="56"/>
      <c r="E191" s="74"/>
      <c r="F191" s="3"/>
      <c r="G191" s="4"/>
      <c r="H191" s="74"/>
      <c r="I191" s="4"/>
      <c r="J191" s="72"/>
      <c r="K191" s="56"/>
      <c r="L191" s="3"/>
    </row>
    <row r="192" spans="1:16" ht="12">
      <c r="A192" s="51"/>
      <c r="B192" s="1" t="e">
        <f>'SC4 MF- TDHCA'!#REF!</f>
        <v>#REF!</v>
      </c>
      <c r="C192" s="50"/>
      <c r="D192" s="56"/>
      <c r="E192" s="74" t="s">
        <v>28</v>
      </c>
      <c r="F192" s="3" t="s">
        <v>28</v>
      </c>
      <c r="G192" s="4" t="s">
        <v>28</v>
      </c>
      <c r="H192" s="74" t="s">
        <v>28</v>
      </c>
      <c r="I192" s="4" t="s">
        <v>28</v>
      </c>
      <c r="J192" s="72" t="s">
        <v>28</v>
      </c>
      <c r="K192" s="56" t="s">
        <v>28</v>
      </c>
      <c r="L192" s="3"/>
    </row>
    <row r="193" spans="1:16" ht="12">
      <c r="A193" s="85">
        <v>2462</v>
      </c>
      <c r="B193" s="12" t="e">
        <f>'SC4 MF- TDHCA'!#REF!</f>
        <v>#REF!</v>
      </c>
      <c r="C193" s="1" t="s">
        <v>64</v>
      </c>
      <c r="D193" s="69">
        <v>9700000</v>
      </c>
      <c r="E193" s="90" t="e">
        <f>IF(O193&gt;0,M193,0)</f>
        <v>#REF!</v>
      </c>
      <c r="F193" s="3">
        <v>35656</v>
      </c>
      <c r="G193" s="4">
        <f>+F193+35</f>
        <v>35691</v>
      </c>
      <c r="H193" s="56" t="s">
        <v>28</v>
      </c>
      <c r="I193" s="4">
        <f>+F193+120</f>
        <v>35776</v>
      </c>
      <c r="J193" s="72" t="s">
        <v>28</v>
      </c>
      <c r="K193" s="56" t="s">
        <v>28</v>
      </c>
      <c r="L193" s="3" t="s">
        <v>28</v>
      </c>
      <c r="M193" s="56" t="e">
        <f>IF(B193="withdrew",0,D193)</f>
        <v>#REF!</v>
      </c>
      <c r="N193" s="76" t="e">
        <f>SUM(M$177:M193)</f>
        <v>#REF!</v>
      </c>
      <c r="O193" s="76" t="e">
        <f>SUM($E$1-N193)</f>
        <v>#REF!</v>
      </c>
      <c r="P193" s="89" t="e">
        <f>SUM(N193:O193)</f>
        <v>#REF!</v>
      </c>
    </row>
    <row r="194" spans="1:16" ht="12">
      <c r="A194" s="51"/>
      <c r="B194" s="1" t="e">
        <f>'SC4 MF- TDHCA'!#REF!</f>
        <v>#REF!</v>
      </c>
      <c r="C194" s="50" t="s">
        <v>92</v>
      </c>
      <c r="D194" s="56"/>
      <c r="E194" s="1"/>
      <c r="F194" s="3" t="s">
        <v>28</v>
      </c>
      <c r="G194" s="3" t="s">
        <v>28</v>
      </c>
      <c r="H194" s="56" t="s">
        <v>28</v>
      </c>
      <c r="I194" s="3" t="s">
        <v>28</v>
      </c>
      <c r="J194" s="72" t="s">
        <v>28</v>
      </c>
      <c r="K194" s="56" t="s">
        <v>28</v>
      </c>
      <c r="M194" s="56" t="s">
        <v>28</v>
      </c>
    </row>
    <row r="195" spans="1:16" ht="12">
      <c r="A195" s="51"/>
      <c r="B195" s="1" t="e">
        <f>'SC4 MF- TDHCA'!#REF!</f>
        <v>#REF!</v>
      </c>
      <c r="C195" s="50" t="s">
        <v>283</v>
      </c>
      <c r="D195" s="56"/>
      <c r="E195" s="1"/>
      <c r="F195" s="3"/>
      <c r="G195" s="3"/>
      <c r="I195" s="3"/>
      <c r="J195" s="72"/>
      <c r="K195" s="56"/>
      <c r="M195" s="56"/>
    </row>
    <row r="196" spans="1:16" ht="12">
      <c r="A196" s="51"/>
      <c r="B196" s="1" t="e">
        <f>'SC4 MF- TDHCA'!#REF!</f>
        <v>#REF!</v>
      </c>
      <c r="C196" s="50"/>
      <c r="D196" s="56"/>
      <c r="E196" s="1"/>
      <c r="F196" s="3" t="s">
        <v>28</v>
      </c>
      <c r="G196" s="3" t="s">
        <v>28</v>
      </c>
      <c r="H196" s="56" t="s">
        <v>28</v>
      </c>
      <c r="I196" s="3" t="s">
        <v>28</v>
      </c>
      <c r="J196" s="72" t="s">
        <v>28</v>
      </c>
      <c r="K196" s="56" t="s">
        <v>28</v>
      </c>
      <c r="M196" s="56" t="s">
        <v>28</v>
      </c>
    </row>
    <row r="197" spans="1:16" ht="12">
      <c r="A197" s="51">
        <v>120</v>
      </c>
      <c r="B197" s="12" t="e">
        <f>'SC4 MF- TDHCA'!#REF!</f>
        <v>#REF!</v>
      </c>
      <c r="C197" s="1" t="s">
        <v>36</v>
      </c>
      <c r="D197" s="56">
        <v>9800000</v>
      </c>
      <c r="E197" s="90" t="e">
        <f>IF(O197&gt;0,M197,0)</f>
        <v>#REF!</v>
      </c>
      <c r="F197" s="3" t="s">
        <v>28</v>
      </c>
      <c r="G197" s="3" t="s">
        <v>28</v>
      </c>
      <c r="H197" s="56" t="s">
        <v>28</v>
      </c>
      <c r="I197" s="3" t="s">
        <v>28</v>
      </c>
      <c r="J197" s="72" t="s">
        <v>28</v>
      </c>
      <c r="K197" s="56" t="s">
        <v>28</v>
      </c>
      <c r="M197" s="56" t="e">
        <f>IF(B197="withdrew",0,D197)</f>
        <v>#REF!</v>
      </c>
      <c r="N197" s="76" t="e">
        <f>SUM(M$177:M197)</f>
        <v>#REF!</v>
      </c>
      <c r="O197" s="76" t="e">
        <f>SUM($E$1-N197)</f>
        <v>#REF!</v>
      </c>
      <c r="P197" s="89" t="e">
        <f>SUM(N197:O197)</f>
        <v>#REF!</v>
      </c>
    </row>
    <row r="198" spans="1:16" ht="12">
      <c r="A198" s="51"/>
      <c r="B198" s="1" t="e">
        <f>'SC4 MF- TDHCA'!#REF!</f>
        <v>#REF!</v>
      </c>
      <c r="C198" s="50" t="s">
        <v>5</v>
      </c>
      <c r="D198" s="56"/>
      <c r="E198" s="1"/>
      <c r="F198" s="3" t="s">
        <v>28</v>
      </c>
      <c r="G198" s="3" t="s">
        <v>28</v>
      </c>
      <c r="H198" s="56" t="s">
        <v>28</v>
      </c>
      <c r="I198" s="3" t="s">
        <v>28</v>
      </c>
      <c r="J198" s="72" t="s">
        <v>28</v>
      </c>
      <c r="K198" s="56" t="s">
        <v>28</v>
      </c>
      <c r="N198" s="56" t="s">
        <v>28</v>
      </c>
    </row>
    <row r="199" spans="1:16" ht="12">
      <c r="A199" s="51"/>
      <c r="B199" s="1" t="e">
        <f>'SC4 MF- TDHCA'!#REF!</f>
        <v>#REF!</v>
      </c>
      <c r="C199" s="50" t="s">
        <v>232</v>
      </c>
      <c r="D199" s="56"/>
      <c r="E199" s="1"/>
      <c r="F199" s="3"/>
      <c r="G199" s="3"/>
      <c r="I199" s="3"/>
      <c r="J199" s="72"/>
      <c r="K199" s="56"/>
      <c r="N199" s="56"/>
    </row>
    <row r="200" spans="1:16" ht="12">
      <c r="A200" s="51"/>
      <c r="B200" s="1" t="e">
        <f>'SC4 MF- TDHCA'!#REF!</f>
        <v>#REF!</v>
      </c>
      <c r="C200" s="50"/>
      <c r="D200" s="56"/>
      <c r="E200" s="1"/>
      <c r="F200" s="3" t="s">
        <v>28</v>
      </c>
      <c r="G200" s="3" t="s">
        <v>28</v>
      </c>
      <c r="H200" s="56" t="s">
        <v>28</v>
      </c>
      <c r="I200" s="3" t="s">
        <v>28</v>
      </c>
      <c r="J200" s="72" t="s">
        <v>28</v>
      </c>
      <c r="K200" s="56" t="s">
        <v>28</v>
      </c>
      <c r="N200" s="56" t="s">
        <v>28</v>
      </c>
    </row>
    <row r="201" spans="1:16" ht="12">
      <c r="A201" s="51">
        <v>121</v>
      </c>
      <c r="B201" s="12" t="e">
        <f>'SC4 MF- TDHCA'!#REF!</f>
        <v>#REF!</v>
      </c>
      <c r="C201" s="1" t="s">
        <v>38</v>
      </c>
      <c r="D201" s="56">
        <v>6000000</v>
      </c>
      <c r="E201" s="90" t="e">
        <f>IF(O201&gt;0,M201,0)</f>
        <v>#REF!</v>
      </c>
      <c r="F201" s="3" t="s">
        <v>28</v>
      </c>
      <c r="G201" s="3" t="s">
        <v>28</v>
      </c>
      <c r="H201" s="69" t="s">
        <v>28</v>
      </c>
      <c r="I201" s="4" t="s">
        <v>28</v>
      </c>
      <c r="J201" s="72" t="s">
        <v>28</v>
      </c>
      <c r="K201" s="56" t="s">
        <v>28</v>
      </c>
      <c r="L201" s="3"/>
      <c r="M201" s="56" t="e">
        <f>IF(B201="withdrew",0,D201)</f>
        <v>#REF!</v>
      </c>
      <c r="N201" s="76" t="e">
        <f>SUM(M$177:M201)</f>
        <v>#REF!</v>
      </c>
      <c r="O201" s="76" t="e">
        <f>SUM($E$1-N201)</f>
        <v>#REF!</v>
      </c>
      <c r="P201" s="89" t="e">
        <f>SUM(N201:O201)</f>
        <v>#REF!</v>
      </c>
    </row>
    <row r="202" spans="1:16" ht="12">
      <c r="A202" s="51"/>
      <c r="B202" s="12" t="e">
        <f>'SC4 MF- TDHCA'!#REF!</f>
        <v>#REF!</v>
      </c>
      <c r="C202" s="50" t="s">
        <v>6</v>
      </c>
      <c r="D202" s="56"/>
      <c r="E202" s="1"/>
      <c r="F202" s="3" t="s">
        <v>28</v>
      </c>
      <c r="G202" s="3" t="s">
        <v>28</v>
      </c>
      <c r="H202" s="69" t="s">
        <v>28</v>
      </c>
      <c r="I202" s="4" t="s">
        <v>28</v>
      </c>
      <c r="J202" s="72" t="s">
        <v>28</v>
      </c>
      <c r="K202" s="56" t="s">
        <v>28</v>
      </c>
      <c r="L202" s="3"/>
      <c r="M202" s="56" t="s">
        <v>28</v>
      </c>
    </row>
    <row r="203" spans="1:16" ht="12">
      <c r="A203" s="51"/>
      <c r="B203" s="12" t="e">
        <f>'SC4 MF- TDHCA'!#REF!</f>
        <v>#REF!</v>
      </c>
      <c r="C203" s="50" t="s">
        <v>130</v>
      </c>
      <c r="D203" s="56"/>
      <c r="E203" s="1"/>
      <c r="F203" s="3"/>
      <c r="G203" s="3"/>
      <c r="H203" s="69"/>
      <c r="I203" s="4"/>
      <c r="J203" s="72"/>
      <c r="K203" s="56"/>
      <c r="L203" s="3"/>
      <c r="M203" s="56"/>
    </row>
    <row r="204" spans="1:16" s="26" customFormat="1">
      <c r="A204" s="20"/>
      <c r="B204" s="21" t="e">
        <f>'SC4 MF- TDHCA'!#REF!</f>
        <v>#REF!</v>
      </c>
      <c r="C204" s="22"/>
      <c r="D204" s="56"/>
      <c r="F204" s="24" t="s">
        <v>28</v>
      </c>
      <c r="G204" s="24" t="s">
        <v>28</v>
      </c>
      <c r="H204" s="71" t="s">
        <v>28</v>
      </c>
      <c r="I204" s="24" t="s">
        <v>28</v>
      </c>
      <c r="J204" s="72" t="s">
        <v>28</v>
      </c>
      <c r="K204" s="56" t="s">
        <v>28</v>
      </c>
      <c r="L204" s="24"/>
      <c r="M204" s="71" t="s">
        <v>28</v>
      </c>
      <c r="N204" s="5"/>
    </row>
    <row r="205" spans="1:16" ht="12">
      <c r="A205" s="51">
        <v>122</v>
      </c>
      <c r="B205" s="1" t="e">
        <f>'SC4 MF- TDHCA'!#REF!</f>
        <v>#REF!</v>
      </c>
      <c r="C205" s="1" t="s">
        <v>38</v>
      </c>
      <c r="D205" s="56">
        <v>11500000</v>
      </c>
      <c r="E205" s="90" t="e">
        <f>IF(O205&gt;0,M205,0)</f>
        <v>#REF!</v>
      </c>
      <c r="F205" s="1" t="s">
        <v>28</v>
      </c>
      <c r="G205" s="1" t="s">
        <v>28</v>
      </c>
      <c r="I205" s="1" t="s">
        <v>28</v>
      </c>
      <c r="J205" s="72" t="s">
        <v>28</v>
      </c>
      <c r="K205" s="56" t="s">
        <v>28</v>
      </c>
      <c r="M205" s="56" t="e">
        <f>IF(B205="withdrew",0,D205)</f>
        <v>#REF!</v>
      </c>
      <c r="N205" s="76" t="e">
        <f>SUM(M$177:M205)</f>
        <v>#REF!</v>
      </c>
      <c r="O205" s="76" t="e">
        <f>SUM($E$1-N205)</f>
        <v>#REF!</v>
      </c>
      <c r="P205" s="89" t="e">
        <f>SUM(N205:O205)</f>
        <v>#REF!</v>
      </c>
    </row>
    <row r="206" spans="1:16" ht="12">
      <c r="A206" s="51"/>
      <c r="B206" s="1" t="e">
        <f>'SC4 MF- TDHCA'!#REF!</f>
        <v>#REF!</v>
      </c>
      <c r="C206" s="50" t="s">
        <v>104</v>
      </c>
      <c r="D206" s="56"/>
      <c r="E206" s="1"/>
      <c r="F206" s="1" t="s">
        <v>9</v>
      </c>
      <c r="G206" s="1" t="s">
        <v>28</v>
      </c>
      <c r="I206" s="1" t="s">
        <v>28</v>
      </c>
      <c r="J206" s="72" t="s">
        <v>28</v>
      </c>
      <c r="K206" s="56" t="s">
        <v>28</v>
      </c>
      <c r="M206" s="56" t="s">
        <v>28</v>
      </c>
    </row>
    <row r="207" spans="1:16" ht="12">
      <c r="A207" s="51"/>
      <c r="B207" s="1" t="e">
        <f>'SC4 MF- TDHCA'!#REF!</f>
        <v>#REF!</v>
      </c>
      <c r="C207" s="50" t="s">
        <v>130</v>
      </c>
      <c r="D207" s="56"/>
      <c r="E207" s="1"/>
      <c r="J207" s="72"/>
      <c r="K207" s="56"/>
      <c r="M207" s="56"/>
    </row>
    <row r="208" spans="1:16" ht="12">
      <c r="A208" s="51"/>
      <c r="B208" s="1" t="e">
        <f>'SC4 MF- TDHCA'!#REF!</f>
        <v>#REF!</v>
      </c>
      <c r="C208" s="50"/>
      <c r="D208" s="56"/>
      <c r="E208" s="1"/>
      <c r="G208" s="1" t="s">
        <v>28</v>
      </c>
      <c r="I208" s="1" t="s">
        <v>28</v>
      </c>
      <c r="J208" s="72" t="s">
        <v>28</v>
      </c>
      <c r="K208" s="56" t="s">
        <v>28</v>
      </c>
      <c r="M208" s="56" t="s">
        <v>28</v>
      </c>
    </row>
    <row r="209" spans="1:16" ht="12">
      <c r="A209" s="51">
        <v>123</v>
      </c>
      <c r="B209" s="1" t="e">
        <f>'SC4 MF- TDHCA'!#REF!</f>
        <v>#REF!</v>
      </c>
      <c r="C209" s="1" t="s">
        <v>172</v>
      </c>
      <c r="D209" s="56">
        <v>13450000</v>
      </c>
      <c r="E209" s="90" t="e">
        <f>IF(O209&gt;0,M209,0)</f>
        <v>#REF!</v>
      </c>
      <c r="F209" s="1" t="s">
        <v>28</v>
      </c>
      <c r="G209" s="1" t="s">
        <v>28</v>
      </c>
      <c r="I209" s="1" t="s">
        <v>28</v>
      </c>
      <c r="J209" s="72" t="s">
        <v>28</v>
      </c>
      <c r="K209" s="56" t="s">
        <v>28</v>
      </c>
      <c r="M209" s="56" t="e">
        <f>IF(B209="withdrew",0,D209)</f>
        <v>#REF!</v>
      </c>
      <c r="N209" s="76" t="e">
        <f>SUM(M$177:M209)</f>
        <v>#REF!</v>
      </c>
      <c r="O209" s="76" t="e">
        <f>SUM($E$1-N209)</f>
        <v>#REF!</v>
      </c>
      <c r="P209" s="89" t="e">
        <f>SUM(N209:O209)</f>
        <v>#REF!</v>
      </c>
    </row>
    <row r="210" spans="1:16" ht="12">
      <c r="A210" s="51"/>
      <c r="B210" s="1" t="e">
        <f>'SC4 MF- TDHCA'!#REF!</f>
        <v>#REF!</v>
      </c>
      <c r="C210" s="50" t="s">
        <v>50</v>
      </c>
      <c r="D210" s="56"/>
      <c r="E210" s="1"/>
      <c r="G210" s="1" t="s">
        <v>28</v>
      </c>
      <c r="J210" s="72" t="s">
        <v>28</v>
      </c>
      <c r="K210" s="56" t="s">
        <v>28</v>
      </c>
      <c r="M210" s="69" t="s">
        <v>28</v>
      </c>
    </row>
    <row r="211" spans="1:16" ht="12">
      <c r="A211" s="51"/>
      <c r="B211" s="1" t="e">
        <f>'SC4 MF- TDHCA'!#REF!</f>
        <v>#REF!</v>
      </c>
      <c r="C211" s="50" t="s">
        <v>150</v>
      </c>
      <c r="D211" s="56"/>
      <c r="E211" s="1"/>
      <c r="J211" s="72"/>
      <c r="K211" s="56"/>
      <c r="M211" s="69"/>
    </row>
    <row r="212" spans="1:16" ht="12">
      <c r="A212" s="51"/>
      <c r="B212" s="1" t="e">
        <f>'SC4 MF- TDHCA'!#REF!</f>
        <v>#REF!</v>
      </c>
      <c r="C212" s="50"/>
      <c r="D212" s="56"/>
      <c r="E212" s="1"/>
      <c r="G212" s="1" t="s">
        <v>28</v>
      </c>
      <c r="J212" s="72" t="s">
        <v>28</v>
      </c>
      <c r="K212" s="56" t="s">
        <v>28</v>
      </c>
      <c r="M212" s="69" t="s">
        <v>9</v>
      </c>
    </row>
    <row r="213" spans="1:16" ht="12">
      <c r="A213" s="51">
        <v>125</v>
      </c>
      <c r="B213" s="1" t="e">
        <f>'SC4 MF- TDHCA'!#REF!</f>
        <v>#REF!</v>
      </c>
      <c r="C213" s="1" t="s">
        <v>156</v>
      </c>
      <c r="D213" s="56">
        <v>10250000</v>
      </c>
      <c r="E213" s="90" t="e">
        <f>IF(O213&gt;0,M213,0)</f>
        <v>#REF!</v>
      </c>
      <c r="F213" s="3"/>
      <c r="G213" s="3" t="s">
        <v>28</v>
      </c>
      <c r="I213" s="3"/>
      <c r="J213" s="72"/>
      <c r="K213" s="56"/>
      <c r="L213" s="3"/>
      <c r="M213" s="56" t="e">
        <f>IF(B213="withdrew",0,D213)</f>
        <v>#REF!</v>
      </c>
      <c r="N213" s="76" t="e">
        <f>SUM(M$177:M213)</f>
        <v>#REF!</v>
      </c>
      <c r="O213" s="76" t="e">
        <f>SUM($E$1-N213)</f>
        <v>#REF!</v>
      </c>
      <c r="P213" s="89" t="e">
        <f>SUM(N213:O213)</f>
        <v>#REF!</v>
      </c>
    </row>
    <row r="214" spans="1:16" ht="12">
      <c r="A214" s="51"/>
      <c r="B214" s="1" t="e">
        <f>'SC4 MF- TDHCA'!#REF!</f>
        <v>#REF!</v>
      </c>
      <c r="C214" s="50" t="s">
        <v>149</v>
      </c>
      <c r="D214" s="56"/>
      <c r="E214" s="1"/>
      <c r="F214" s="3"/>
      <c r="G214" s="3" t="s">
        <v>28</v>
      </c>
      <c r="I214" s="3"/>
      <c r="J214" s="72"/>
      <c r="K214" s="56"/>
      <c r="L214" s="3"/>
      <c r="M214" s="74" t="s">
        <v>28</v>
      </c>
    </row>
    <row r="215" spans="1:16" ht="12">
      <c r="A215" s="51"/>
      <c r="B215" s="1" t="e">
        <f>'SC4 MF- TDHCA'!#REF!</f>
        <v>#REF!</v>
      </c>
      <c r="C215" s="50" t="s">
        <v>232</v>
      </c>
      <c r="D215" s="56"/>
      <c r="E215" s="1"/>
      <c r="F215" s="3"/>
      <c r="G215" s="3"/>
      <c r="I215" s="3"/>
      <c r="J215" s="72"/>
      <c r="K215" s="56"/>
      <c r="L215" s="3"/>
      <c r="M215" s="74"/>
    </row>
    <row r="216" spans="1:16" ht="12">
      <c r="A216" s="51"/>
      <c r="B216" s="1" t="e">
        <f>'SC4 MF- TDHCA'!#REF!</f>
        <v>#REF!</v>
      </c>
      <c r="C216" s="50"/>
      <c r="D216" s="56"/>
      <c r="E216" s="1"/>
      <c r="F216" s="3"/>
      <c r="G216" s="3" t="s">
        <v>28</v>
      </c>
      <c r="I216" s="3"/>
      <c r="J216" s="72"/>
      <c r="K216" s="56"/>
      <c r="L216" s="3"/>
      <c r="M216" s="74" t="s">
        <v>28</v>
      </c>
    </row>
    <row r="217" spans="1:16" ht="12">
      <c r="A217" s="51">
        <v>127</v>
      </c>
      <c r="B217" s="1" t="e">
        <f>'SC4 MF- TDHCA'!#REF!</f>
        <v>#REF!</v>
      </c>
      <c r="C217" s="1" t="s">
        <v>265</v>
      </c>
      <c r="D217" s="56">
        <v>11000000</v>
      </c>
      <c r="E217" s="90" t="e">
        <f>IF(O217&gt;0,M217,0)</f>
        <v>#REF!</v>
      </c>
      <c r="J217" s="72"/>
      <c r="K217" s="56"/>
      <c r="M217" s="56" t="e">
        <f>IF(B217="withdrew",0,D217)</f>
        <v>#REF!</v>
      </c>
      <c r="N217" s="76" t="e">
        <f>SUM(M$177:M217)</f>
        <v>#REF!</v>
      </c>
      <c r="O217" s="76" t="e">
        <f>SUM($E$1-N217)</f>
        <v>#REF!</v>
      </c>
      <c r="P217" s="89" t="e">
        <f>SUM(N217:O217)</f>
        <v>#REF!</v>
      </c>
    </row>
    <row r="218" spans="1:16" ht="12">
      <c r="A218" s="51"/>
      <c r="B218" s="1" t="e">
        <f>'SC4 MF- TDHCA'!#REF!</f>
        <v>#REF!</v>
      </c>
      <c r="C218" s="50" t="s">
        <v>209</v>
      </c>
      <c r="D218" s="56"/>
      <c r="E218" s="1"/>
      <c r="J218" s="72"/>
      <c r="K218" s="56"/>
      <c r="M218" s="56" t="s">
        <v>28</v>
      </c>
    </row>
    <row r="219" spans="1:16" ht="12">
      <c r="A219" s="51"/>
      <c r="B219" s="1" t="e">
        <f>'SC4 MF- TDHCA'!#REF!</f>
        <v>#REF!</v>
      </c>
      <c r="C219" s="50" t="s">
        <v>232</v>
      </c>
      <c r="D219" s="56"/>
      <c r="E219" s="1"/>
      <c r="J219" s="72"/>
      <c r="K219" s="56"/>
      <c r="M219" s="56"/>
    </row>
    <row r="220" spans="1:16" ht="12">
      <c r="A220" s="51"/>
      <c r="B220" s="1" t="e">
        <f>'SC4 MF- TDHCA'!#REF!</f>
        <v>#REF!</v>
      </c>
      <c r="C220" s="50"/>
      <c r="D220" s="56"/>
      <c r="E220" s="1"/>
      <c r="J220" s="72"/>
      <c r="K220" s="56"/>
      <c r="M220" s="56" t="s">
        <v>28</v>
      </c>
    </row>
    <row r="221" spans="1:16" ht="12">
      <c r="A221" s="51">
        <v>129</v>
      </c>
      <c r="B221" s="1" t="e">
        <f>'SC4 MF- TDHCA'!#REF!</f>
        <v>#REF!</v>
      </c>
      <c r="C221" s="1" t="s">
        <v>156</v>
      </c>
      <c r="D221" s="56">
        <v>12500000</v>
      </c>
      <c r="E221" s="90" t="e">
        <f>IF(O221&gt;0,M221,0)</f>
        <v>#REF!</v>
      </c>
      <c r="J221" s="72"/>
      <c r="K221" s="56"/>
      <c r="M221" s="56" t="e">
        <f>IF(B221="withdrew",0,D221)</f>
        <v>#REF!</v>
      </c>
      <c r="N221" s="76" t="e">
        <f>SUM(M$177:M221)</f>
        <v>#REF!</v>
      </c>
      <c r="O221" s="76" t="e">
        <f>SUM($E$1-N221)</f>
        <v>#REF!</v>
      </c>
      <c r="P221" s="89" t="e">
        <f>SUM(N221:O221)</f>
        <v>#REF!</v>
      </c>
    </row>
    <row r="222" spans="1:16" ht="12">
      <c r="A222" s="20"/>
      <c r="B222" s="1" t="e">
        <f>'SC4 MF- TDHCA'!#REF!</f>
        <v>#REF!</v>
      </c>
      <c r="C222" s="50" t="s">
        <v>70</v>
      </c>
      <c r="D222" s="56"/>
      <c r="E222" s="1"/>
      <c r="F222" s="3"/>
      <c r="G222" s="3"/>
      <c r="H222" s="69"/>
      <c r="I222" s="4"/>
      <c r="J222" s="72"/>
      <c r="K222" s="56"/>
      <c r="L222" s="3"/>
      <c r="M222" s="56" t="s">
        <v>28</v>
      </c>
    </row>
    <row r="223" spans="1:16" ht="12">
      <c r="A223" s="20"/>
      <c r="B223" s="1" t="e">
        <f>'SC4 MF- TDHCA'!#REF!</f>
        <v>#REF!</v>
      </c>
      <c r="C223" s="50" t="s">
        <v>96</v>
      </c>
      <c r="D223" s="56"/>
      <c r="E223" s="1"/>
      <c r="F223" s="3"/>
      <c r="G223" s="3"/>
      <c r="H223" s="69"/>
      <c r="I223" s="4"/>
      <c r="J223" s="72"/>
      <c r="K223" s="56"/>
      <c r="L223" s="3"/>
      <c r="M223" s="56"/>
    </row>
    <row r="224" spans="1:16">
      <c r="A224" s="21"/>
      <c r="B224" s="1" t="e">
        <f>'SC4 MF- TDHCA'!#REF!</f>
        <v>#REF!</v>
      </c>
      <c r="D224" s="56"/>
      <c r="E224" s="1"/>
      <c r="J224" s="72"/>
      <c r="K224" s="56"/>
      <c r="M224" s="56" t="s">
        <v>28</v>
      </c>
    </row>
    <row r="225" spans="1:16" ht="12">
      <c r="A225" s="21">
        <v>134</v>
      </c>
      <c r="B225" s="1" t="e">
        <f>'SC4 MF- TDHCA'!#REF!</f>
        <v>#REF!</v>
      </c>
      <c r="C225" s="50" t="s">
        <v>156</v>
      </c>
      <c r="D225" s="56">
        <v>8600000</v>
      </c>
      <c r="E225" s="90" t="e">
        <f>IF(O225&gt;0,M225,0)</f>
        <v>#REF!</v>
      </c>
      <c r="J225" s="72"/>
      <c r="K225" s="56"/>
      <c r="M225" s="56" t="e">
        <f>IF(B225="withdrew",0,D225)</f>
        <v>#REF!</v>
      </c>
      <c r="N225" s="76" t="e">
        <f>SUM(M$177:M225)</f>
        <v>#REF!</v>
      </c>
      <c r="O225" s="76" t="e">
        <f>SUM($E$1-N225)</f>
        <v>#REF!</v>
      </c>
      <c r="P225" s="89" t="e">
        <f>SUM(N225:O225)</f>
        <v>#REF!</v>
      </c>
    </row>
    <row r="226" spans="1:16" ht="12">
      <c r="A226" s="21"/>
      <c r="B226" s="1" t="e">
        <f>'SC4 MF- TDHCA'!#REF!</f>
        <v>#REF!</v>
      </c>
      <c r="C226" s="50" t="s">
        <v>238</v>
      </c>
      <c r="D226" s="56"/>
      <c r="E226" s="1"/>
      <c r="J226" s="72"/>
      <c r="K226" s="56"/>
      <c r="M226" s="56" t="s">
        <v>28</v>
      </c>
    </row>
    <row r="227" spans="1:16" ht="12">
      <c r="A227" s="21"/>
      <c r="B227" s="1" t="e">
        <f>'SC4 MF- TDHCA'!#REF!</f>
        <v>#REF!</v>
      </c>
      <c r="C227" s="50" t="s">
        <v>129</v>
      </c>
      <c r="D227" s="56"/>
      <c r="E227" s="1"/>
      <c r="J227" s="72"/>
      <c r="K227" s="56"/>
      <c r="M227" s="56"/>
    </row>
    <row r="228" spans="1:16" ht="12">
      <c r="A228" s="21"/>
      <c r="B228" s="1" t="e">
        <f>'SC4 MF- TDHCA'!#REF!</f>
        <v>#REF!</v>
      </c>
      <c r="C228" s="50"/>
      <c r="D228" s="56"/>
      <c r="E228" s="1"/>
      <c r="J228" s="72"/>
      <c r="K228" s="56"/>
      <c r="M228" s="56" t="s">
        <v>28</v>
      </c>
    </row>
    <row r="229" spans="1:16" ht="12">
      <c r="A229" s="21">
        <v>137</v>
      </c>
      <c r="B229" s="1" t="e">
        <f>'SC4 MF- TDHCA'!#REF!</f>
        <v>#REF!</v>
      </c>
      <c r="C229" s="50" t="s">
        <v>172</v>
      </c>
      <c r="D229" s="56">
        <v>12400000</v>
      </c>
      <c r="E229" s="90" t="e">
        <f>IF(O229&gt;0,M229,0)</f>
        <v>#REF!</v>
      </c>
      <c r="F229" s="3"/>
      <c r="G229" s="3"/>
      <c r="H229" s="69"/>
      <c r="I229" s="4"/>
      <c r="J229" s="72"/>
      <c r="K229" s="56"/>
      <c r="L229" s="3"/>
      <c r="M229" s="56" t="e">
        <f>IF(B229="withdrew",0,D229)</f>
        <v>#REF!</v>
      </c>
      <c r="N229" s="76" t="e">
        <f>SUM(M$177:M229)</f>
        <v>#REF!</v>
      </c>
      <c r="O229" s="76" t="e">
        <f>SUM($E$1-N229)</f>
        <v>#REF!</v>
      </c>
      <c r="P229" s="89" t="e">
        <f>SUM(N229:O229)</f>
        <v>#REF!</v>
      </c>
    </row>
    <row r="230" spans="1:16" ht="12">
      <c r="A230" s="21"/>
      <c r="B230" s="12" t="e">
        <f>'SC4 MF- TDHCA'!#REF!</f>
        <v>#REF!</v>
      </c>
      <c r="C230" s="50" t="s">
        <v>135</v>
      </c>
      <c r="D230" s="56"/>
      <c r="E230" s="1"/>
      <c r="F230" s="3"/>
      <c r="G230" s="3"/>
      <c r="H230" s="69"/>
      <c r="I230" s="4"/>
      <c r="J230" s="72"/>
      <c r="K230" s="56"/>
      <c r="L230" s="3"/>
      <c r="M230" s="56" t="s">
        <v>28</v>
      </c>
    </row>
    <row r="231" spans="1:16" ht="12">
      <c r="A231" s="21"/>
      <c r="B231" s="12" t="e">
        <f>'SC4 MF- TDHCA'!#REF!</f>
        <v>#REF!</v>
      </c>
      <c r="C231" s="50" t="s">
        <v>127</v>
      </c>
      <c r="D231" s="56"/>
      <c r="E231" s="1"/>
      <c r="F231" s="3"/>
      <c r="G231" s="3"/>
      <c r="H231" s="69"/>
      <c r="I231" s="4"/>
      <c r="J231" s="72"/>
      <c r="K231" s="56"/>
      <c r="L231" s="3"/>
      <c r="M231" s="56"/>
    </row>
    <row r="232" spans="1:16" ht="12">
      <c r="A232" s="21"/>
      <c r="B232" s="12" t="e">
        <f>'SC4 MF- TDHCA'!#REF!</f>
        <v>#REF!</v>
      </c>
      <c r="C232" s="50"/>
      <c r="D232" s="56"/>
      <c r="E232" s="1"/>
      <c r="F232" s="3"/>
      <c r="G232" s="3"/>
      <c r="H232" s="69"/>
      <c r="I232" s="4"/>
      <c r="J232" s="72"/>
      <c r="K232" s="56"/>
      <c r="L232" s="3"/>
      <c r="M232" s="56"/>
    </row>
    <row r="233" spans="1:16" ht="12">
      <c r="A233" s="21">
        <v>139</v>
      </c>
      <c r="B233" s="12" t="e">
        <f>'SC4 MF- TDHCA'!#REF!</f>
        <v>#REF!</v>
      </c>
      <c r="C233" s="50" t="s">
        <v>156</v>
      </c>
      <c r="D233" s="56">
        <v>9500000</v>
      </c>
      <c r="E233" s="90" t="e">
        <f>IF(O233&gt;0,M233,0)</f>
        <v>#REF!</v>
      </c>
      <c r="F233" s="3"/>
      <c r="G233" s="3"/>
      <c r="I233" s="4"/>
      <c r="J233" s="72"/>
      <c r="K233" s="56"/>
      <c r="M233" s="56" t="e">
        <f>IF(B233="withdrew",0,D233)</f>
        <v>#REF!</v>
      </c>
      <c r="N233" s="76" t="e">
        <f>SUM(M$177:M233)</f>
        <v>#REF!</v>
      </c>
      <c r="O233" s="76" t="e">
        <f>SUM($E$1-N233)</f>
        <v>#REF!</v>
      </c>
      <c r="P233" s="89" t="e">
        <f>SUM(N233:O233)</f>
        <v>#REF!</v>
      </c>
    </row>
    <row r="234" spans="1:16" ht="12">
      <c r="A234" s="21"/>
      <c r="B234" s="1" t="e">
        <f>'SC4 MF- TDHCA'!#REF!</f>
        <v>#REF!</v>
      </c>
      <c r="C234" s="50" t="s">
        <v>71</v>
      </c>
      <c r="D234" s="56"/>
      <c r="E234" s="1"/>
      <c r="F234" s="3"/>
      <c r="G234" s="3"/>
      <c r="I234" s="4"/>
      <c r="J234" s="72"/>
      <c r="K234" s="56"/>
      <c r="M234" s="56" t="s">
        <v>28</v>
      </c>
    </row>
    <row r="235" spans="1:16" ht="12">
      <c r="A235" s="21"/>
      <c r="B235" s="1" t="e">
        <f>'SC4 MF- TDHCA'!#REF!</f>
        <v>#REF!</v>
      </c>
      <c r="C235" s="50" t="s">
        <v>232</v>
      </c>
      <c r="D235" s="56"/>
      <c r="E235" s="1"/>
      <c r="F235" s="3"/>
      <c r="G235" s="3"/>
      <c r="I235" s="4"/>
      <c r="J235" s="72"/>
      <c r="K235" s="56"/>
      <c r="M235" s="56"/>
    </row>
    <row r="236" spans="1:16" ht="12">
      <c r="A236" s="21"/>
      <c r="B236" s="1" t="e">
        <f>'SC4 MF- TDHCA'!#REF!</f>
        <v>#REF!</v>
      </c>
      <c r="C236" s="50"/>
      <c r="D236" s="56"/>
      <c r="E236" s="1"/>
      <c r="F236" s="3"/>
      <c r="G236" s="3"/>
      <c r="I236" s="4"/>
      <c r="J236" s="72"/>
      <c r="K236" s="56"/>
      <c r="M236" s="56" t="s">
        <v>28</v>
      </c>
    </row>
    <row r="237" spans="1:16" ht="12">
      <c r="A237" s="21">
        <v>140</v>
      </c>
      <c r="B237" s="1" t="e">
        <f>'SC4 MF- TDHCA'!#REF!</f>
        <v>#REF!</v>
      </c>
      <c r="C237" s="50" t="s">
        <v>156</v>
      </c>
      <c r="D237" s="56">
        <v>11600000</v>
      </c>
      <c r="E237" s="90" t="e">
        <f>IF(O237&gt;0,M237,0)</f>
        <v>#REF!</v>
      </c>
      <c r="J237" s="72"/>
      <c r="K237" s="56"/>
      <c r="M237" s="56" t="e">
        <f>IF(B237="withdrew",0,D237)</f>
        <v>#REF!</v>
      </c>
      <c r="N237" s="76" t="e">
        <f>SUM(M$177:M237)</f>
        <v>#REF!</v>
      </c>
      <c r="O237" s="76" t="e">
        <f>SUM($E$1-N237)</f>
        <v>#REF!</v>
      </c>
      <c r="P237" s="89" t="e">
        <f>SUM(N237:O237)</f>
        <v>#REF!</v>
      </c>
    </row>
    <row r="238" spans="1:16" ht="12">
      <c r="A238" s="21"/>
      <c r="B238" s="1" t="e">
        <f>'SC4 MF- TDHCA'!#REF!</f>
        <v>#REF!</v>
      </c>
      <c r="C238" s="50" t="s">
        <v>105</v>
      </c>
      <c r="D238" s="56"/>
      <c r="E238" s="1"/>
      <c r="J238" s="72"/>
      <c r="K238" s="56"/>
      <c r="M238" s="56" t="s">
        <v>28</v>
      </c>
    </row>
    <row r="239" spans="1:16" ht="12">
      <c r="A239" s="21"/>
      <c r="B239" s="1" t="e">
        <f>'SC4 MF- TDHCA'!#REF!</f>
        <v>#REF!</v>
      </c>
      <c r="C239" s="50" t="s">
        <v>232</v>
      </c>
      <c r="D239" s="56"/>
      <c r="E239" s="1"/>
      <c r="J239" s="72"/>
      <c r="K239" s="56"/>
      <c r="M239" s="56"/>
    </row>
    <row r="240" spans="1:16" ht="12">
      <c r="A240" s="21"/>
      <c r="B240" s="1" t="e">
        <f>'SC4 MF- TDHCA'!#REF!</f>
        <v>#REF!</v>
      </c>
      <c r="C240" s="50"/>
      <c r="D240" s="56"/>
      <c r="E240" s="1"/>
      <c r="J240" s="72"/>
      <c r="K240" s="56"/>
      <c r="M240" s="56"/>
    </row>
    <row r="241" spans="1:16" ht="12">
      <c r="A241" s="21">
        <v>143</v>
      </c>
      <c r="B241" s="1" t="e">
        <f>'SC4 MF- TDHCA'!#REF!</f>
        <v>#REF!</v>
      </c>
      <c r="C241" s="50" t="s">
        <v>36</v>
      </c>
      <c r="D241" s="56">
        <v>9549000</v>
      </c>
      <c r="E241" s="90" t="e">
        <f>IF(O241&gt;0,M241,0)</f>
        <v>#REF!</v>
      </c>
      <c r="F241" s="3"/>
      <c r="G241" s="3"/>
      <c r="H241" s="69"/>
      <c r="I241" s="4"/>
      <c r="J241" s="72"/>
      <c r="K241" s="56"/>
      <c r="L241" s="3"/>
      <c r="M241" s="56" t="e">
        <f>IF(B241="withdrew",0,D241)</f>
        <v>#REF!</v>
      </c>
      <c r="N241" s="76" t="e">
        <f>SUM(M$177:M241)</f>
        <v>#REF!</v>
      </c>
      <c r="O241" s="76" t="e">
        <f>SUM($E$1-N241)</f>
        <v>#REF!</v>
      </c>
      <c r="P241" s="89" t="e">
        <f>SUM(N241:O241)</f>
        <v>#REF!</v>
      </c>
    </row>
    <row r="242" spans="1:16" ht="12">
      <c r="A242" s="20"/>
      <c r="B242" s="12" t="e">
        <f>'SC4 MF- TDHCA'!#REF!</f>
        <v>#REF!</v>
      </c>
      <c r="C242" s="50" t="s">
        <v>72</v>
      </c>
      <c r="D242" s="56"/>
      <c r="E242" s="1"/>
      <c r="F242" s="3"/>
      <c r="G242" s="3"/>
      <c r="H242" s="69"/>
      <c r="I242" s="4"/>
      <c r="J242" s="72"/>
      <c r="K242" s="56"/>
      <c r="L242" s="3"/>
      <c r="M242" s="57"/>
    </row>
    <row r="243" spans="1:16" ht="12">
      <c r="A243" s="20"/>
      <c r="B243" s="12" t="e">
        <f>'SC4 MF- TDHCA'!#REF!</f>
        <v>#REF!</v>
      </c>
      <c r="C243" s="50" t="s">
        <v>232</v>
      </c>
      <c r="D243" s="56"/>
      <c r="E243" s="1"/>
      <c r="F243" s="3"/>
      <c r="G243" s="3"/>
      <c r="H243" s="69"/>
      <c r="I243" s="4"/>
      <c r="J243" s="72"/>
      <c r="K243" s="56"/>
      <c r="L243" s="3"/>
      <c r="M243" s="57"/>
    </row>
    <row r="244" spans="1:16" ht="12">
      <c r="A244" s="20"/>
      <c r="B244" s="12" t="e">
        <f>'SC4 MF- TDHCA'!#REF!</f>
        <v>#REF!</v>
      </c>
      <c r="C244" s="50"/>
      <c r="D244" s="56"/>
      <c r="E244" s="1"/>
      <c r="F244" s="3"/>
      <c r="G244" s="3"/>
      <c r="H244" s="69"/>
      <c r="I244" s="4"/>
      <c r="J244" s="72"/>
      <c r="K244" s="56"/>
      <c r="L244" s="3"/>
      <c r="M244" s="57"/>
    </row>
    <row r="245" spans="1:16" ht="12">
      <c r="A245" s="21">
        <v>144</v>
      </c>
      <c r="B245" s="1" t="e">
        <f>'SC4 MF- TDHCA'!#REF!</f>
        <v>#REF!</v>
      </c>
      <c r="C245" s="50" t="s">
        <v>156</v>
      </c>
      <c r="D245" s="56">
        <v>10500000</v>
      </c>
      <c r="E245" s="90" t="e">
        <f>IF(O245&gt;0,M245,0)</f>
        <v>#REF!</v>
      </c>
      <c r="J245" s="72"/>
      <c r="K245" s="56"/>
      <c r="M245" s="56" t="e">
        <f>IF(B245="withdrew",0,D245)</f>
        <v>#REF!</v>
      </c>
      <c r="N245" s="76" t="e">
        <f>SUM(M$177:M245)</f>
        <v>#REF!</v>
      </c>
      <c r="O245" s="76" t="e">
        <f>SUM($E$1-N245)</f>
        <v>#REF!</v>
      </c>
      <c r="P245" s="89" t="e">
        <f>SUM(N245:O245)</f>
        <v>#REF!</v>
      </c>
    </row>
    <row r="246" spans="1:16" ht="12">
      <c r="A246" s="21"/>
      <c r="B246" s="1" t="e">
        <f>'SC4 MF- TDHCA'!#REF!</f>
        <v>#REF!</v>
      </c>
      <c r="C246" s="50" t="s">
        <v>87</v>
      </c>
      <c r="D246" s="56"/>
      <c r="E246" s="1"/>
      <c r="J246" s="72"/>
      <c r="K246" s="56"/>
      <c r="M246" s="56"/>
    </row>
    <row r="247" spans="1:16" ht="12">
      <c r="A247" s="21"/>
      <c r="B247" s="1" t="e">
        <f>'SC4 MF- TDHCA'!#REF!</f>
        <v>#REF!</v>
      </c>
      <c r="C247" s="50" t="s">
        <v>128</v>
      </c>
      <c r="D247" s="56"/>
      <c r="E247" s="1"/>
      <c r="J247" s="72"/>
      <c r="K247" s="56"/>
      <c r="M247" s="56"/>
    </row>
    <row r="248" spans="1:16" ht="12">
      <c r="A248" s="21"/>
      <c r="B248" s="1" t="e">
        <f>'SC4 MF- TDHCA'!#REF!</f>
        <v>#REF!</v>
      </c>
      <c r="C248" s="50"/>
      <c r="D248" s="56"/>
      <c r="E248" s="1"/>
      <c r="J248" s="72"/>
      <c r="K248" s="56"/>
      <c r="M248" s="56"/>
    </row>
    <row r="249" spans="1:16" ht="12">
      <c r="A249" s="21">
        <v>145</v>
      </c>
      <c r="B249" s="1" t="e">
        <f>'SC4 MF- TDHCA'!#REF!</f>
        <v>#REF!</v>
      </c>
      <c r="C249" s="50" t="s">
        <v>192</v>
      </c>
      <c r="D249" s="56">
        <v>15000000</v>
      </c>
      <c r="E249" s="90" t="e">
        <f>IF(O249&gt;0,M249,0)</f>
        <v>#REF!</v>
      </c>
      <c r="J249" s="72"/>
      <c r="K249" s="56"/>
      <c r="M249" s="56" t="e">
        <f>IF(B249="withdrew",0,D249)</f>
        <v>#REF!</v>
      </c>
      <c r="N249" s="76" t="e">
        <f>SUM(M$177:M249)</f>
        <v>#REF!</v>
      </c>
      <c r="O249" s="76" t="e">
        <f>SUM($E$1-N249)</f>
        <v>#REF!</v>
      </c>
      <c r="P249" s="89" t="e">
        <f>SUM(N249:O249)</f>
        <v>#REF!</v>
      </c>
    </row>
    <row r="250" spans="1:16" ht="12">
      <c r="A250" s="21"/>
      <c r="B250" s="1" t="e">
        <f>'SC4 MF- TDHCA'!#REF!</f>
        <v>#REF!</v>
      </c>
      <c r="C250" s="50" t="s">
        <v>272</v>
      </c>
      <c r="D250" s="56"/>
      <c r="E250" s="1"/>
      <c r="J250" s="72"/>
      <c r="K250" s="56"/>
      <c r="M250" s="56"/>
    </row>
    <row r="251" spans="1:16" ht="12">
      <c r="A251" s="21"/>
      <c r="B251" s="1" t="e">
        <f>'SC4 MF- TDHCA'!#REF!</f>
        <v>#REF!</v>
      </c>
      <c r="C251" s="50" t="s">
        <v>152</v>
      </c>
      <c r="D251" s="56"/>
      <c r="E251" s="1"/>
      <c r="J251" s="72"/>
      <c r="K251" s="56"/>
      <c r="M251" s="56"/>
    </row>
    <row r="252" spans="1:16" ht="12">
      <c r="A252" s="21"/>
      <c r="B252" s="1" t="e">
        <f>'SC4 MF- TDHCA'!#REF!</f>
        <v>#REF!</v>
      </c>
      <c r="C252" s="50"/>
      <c r="D252" s="56"/>
      <c r="E252" s="1"/>
      <c r="J252" s="72"/>
      <c r="K252" s="56"/>
      <c r="M252" s="56"/>
    </row>
    <row r="253" spans="1:16" ht="12">
      <c r="A253" s="21">
        <v>148</v>
      </c>
      <c r="B253" s="1" t="e">
        <f>'SC4 MF- TDHCA'!#REF!</f>
        <v>#REF!</v>
      </c>
      <c r="C253" s="50" t="s">
        <v>156</v>
      </c>
      <c r="D253" s="56">
        <v>12500000</v>
      </c>
      <c r="E253" s="90" t="e">
        <f>IF(O253&gt;0,M253,0)</f>
        <v>#REF!</v>
      </c>
      <c r="J253" s="72"/>
      <c r="K253" s="56"/>
      <c r="M253" s="56" t="e">
        <f>IF(B253="withdrew",0,D253)</f>
        <v>#REF!</v>
      </c>
      <c r="N253" s="76" t="e">
        <f>SUM(M$177:M253)</f>
        <v>#REF!</v>
      </c>
      <c r="O253" s="76" t="e">
        <f>SUM($E$1-N253)</f>
        <v>#REF!</v>
      </c>
      <c r="P253" s="89" t="e">
        <f>SUM(N253:O253)</f>
        <v>#REF!</v>
      </c>
    </row>
    <row r="254" spans="1:16" ht="12">
      <c r="A254" s="21"/>
      <c r="B254" s="1" t="e">
        <f>'SC4 MF- TDHCA'!#REF!</f>
        <v>#REF!</v>
      </c>
      <c r="C254" s="50" t="s">
        <v>80</v>
      </c>
      <c r="D254" s="56"/>
      <c r="E254" s="1"/>
      <c r="J254" s="72"/>
      <c r="K254" s="56"/>
      <c r="M254" s="56"/>
    </row>
    <row r="255" spans="1:16" ht="12">
      <c r="A255" s="21"/>
      <c r="B255" s="1" t="e">
        <f>'SC4 MF- TDHCA'!#REF!</f>
        <v>#REF!</v>
      </c>
      <c r="C255" s="50" t="s">
        <v>96</v>
      </c>
      <c r="D255" s="56"/>
      <c r="E255" s="1"/>
      <c r="J255" s="72"/>
      <c r="K255" s="56"/>
      <c r="M255" s="56"/>
    </row>
    <row r="256" spans="1:16" ht="12">
      <c r="A256" s="21"/>
      <c r="B256" s="1" t="e">
        <f>'SC4 MF- TDHCA'!#REF!</f>
        <v>#REF!</v>
      </c>
      <c r="C256" s="50"/>
      <c r="D256" s="56"/>
      <c r="E256" s="1"/>
      <c r="J256" s="72"/>
      <c r="K256" s="56"/>
      <c r="M256" s="56"/>
    </row>
    <row r="257" spans="1:16" ht="12">
      <c r="A257" s="21">
        <v>150</v>
      </c>
      <c r="B257" s="1" t="e">
        <f>'SC4 MF- TDHCA'!#REF!</f>
        <v>#REF!</v>
      </c>
      <c r="C257" s="50" t="s">
        <v>156</v>
      </c>
      <c r="D257" s="56">
        <v>14100000</v>
      </c>
      <c r="E257" s="90" t="e">
        <f>IF(O257&gt;0,M257,0)</f>
        <v>#REF!</v>
      </c>
      <c r="J257" s="72"/>
      <c r="K257" s="56"/>
      <c r="M257" s="56" t="e">
        <f>IF(B257="withdrew",0,D257)</f>
        <v>#REF!</v>
      </c>
      <c r="N257" s="76" t="e">
        <f>SUM(M$177:M257)</f>
        <v>#REF!</v>
      </c>
      <c r="O257" s="76" t="e">
        <f>SUM($E$1-N257)</f>
        <v>#REF!</v>
      </c>
      <c r="P257" s="89" t="e">
        <f>SUM(N257:O257)</f>
        <v>#REF!</v>
      </c>
    </row>
    <row r="258" spans="1:16" ht="12">
      <c r="A258" s="21"/>
      <c r="B258" s="1" t="e">
        <f>'SC4 MF- TDHCA'!#REF!</f>
        <v>#REF!</v>
      </c>
      <c r="C258" s="52" t="s">
        <v>199</v>
      </c>
      <c r="D258" s="56"/>
      <c r="E258" s="1"/>
      <c r="J258" s="72"/>
      <c r="K258" s="56"/>
      <c r="M258" s="56"/>
    </row>
    <row r="259" spans="1:16" ht="12">
      <c r="A259" s="21"/>
      <c r="B259" s="1" t="e">
        <f>'SC4 MF- TDHCA'!#REF!</f>
        <v>#REF!</v>
      </c>
      <c r="C259" s="50" t="s">
        <v>20</v>
      </c>
      <c r="D259" s="56"/>
      <c r="E259" s="1"/>
      <c r="J259" s="72"/>
      <c r="K259" s="56"/>
      <c r="M259" s="56"/>
    </row>
    <row r="260" spans="1:16" ht="12">
      <c r="A260" s="21"/>
      <c r="B260" s="1" t="e">
        <f>'SC4 MF- TDHCA'!#REF!</f>
        <v>#REF!</v>
      </c>
      <c r="C260" s="50"/>
      <c r="D260" s="56"/>
      <c r="E260" s="1"/>
      <c r="J260" s="72"/>
      <c r="K260" s="56"/>
      <c r="M260" s="56"/>
    </row>
    <row r="261" spans="1:16" ht="12">
      <c r="A261" s="21">
        <v>151</v>
      </c>
      <c r="B261" s="1" t="e">
        <f>'SC4 MF- TDHCA'!#REF!</f>
        <v>#REF!</v>
      </c>
      <c r="C261" s="50" t="s">
        <v>36</v>
      </c>
      <c r="D261" s="56">
        <v>5000000</v>
      </c>
      <c r="E261" s="90" t="e">
        <f>IF(O261&gt;0,M261,0)</f>
        <v>#REF!</v>
      </c>
      <c r="J261" s="72"/>
      <c r="K261" s="56"/>
      <c r="M261" s="56" t="e">
        <f>IF(B261="withdrew",0,D261)</f>
        <v>#REF!</v>
      </c>
      <c r="N261" s="76" t="e">
        <f>SUM(M$177:M261)</f>
        <v>#REF!</v>
      </c>
      <c r="O261" s="76" t="e">
        <f>SUM($E$1-N261)</f>
        <v>#REF!</v>
      </c>
      <c r="P261" s="89" t="e">
        <f>SUM(N261:O261)</f>
        <v>#REF!</v>
      </c>
    </row>
    <row r="262" spans="1:16" ht="12">
      <c r="A262" s="21"/>
      <c r="B262" s="1" t="e">
        <f>'SC4 MF- TDHCA'!#REF!</f>
        <v>#REF!</v>
      </c>
      <c r="C262" s="50" t="s">
        <v>200</v>
      </c>
      <c r="D262" s="56"/>
      <c r="E262" s="1"/>
      <c r="J262" s="72"/>
      <c r="K262" s="56"/>
      <c r="M262" s="56"/>
    </row>
    <row r="263" spans="1:16" ht="12">
      <c r="A263" s="21"/>
      <c r="B263" s="1" t="e">
        <f>'SC4 MF- TDHCA'!#REF!</f>
        <v>#REF!</v>
      </c>
      <c r="C263" s="50" t="s">
        <v>232</v>
      </c>
      <c r="D263" s="56"/>
      <c r="E263" s="1"/>
      <c r="J263" s="72"/>
      <c r="K263" s="56"/>
      <c r="M263" s="56"/>
    </row>
    <row r="264" spans="1:16" ht="12">
      <c r="A264" s="21"/>
      <c r="B264" s="1" t="e">
        <f>'SC4 MF- TDHCA'!#REF!</f>
        <v>#REF!</v>
      </c>
      <c r="C264" s="50"/>
      <c r="D264" s="56"/>
      <c r="E264" s="1"/>
      <c r="J264" s="72"/>
      <c r="K264" s="56"/>
      <c r="M264" s="56"/>
    </row>
    <row r="265" spans="1:16" ht="12">
      <c r="A265" s="21">
        <v>152</v>
      </c>
      <c r="B265" s="1" t="e">
        <f>'SC4 MF- TDHCA'!#REF!</f>
        <v>#REF!</v>
      </c>
      <c r="C265" s="50" t="s">
        <v>16</v>
      </c>
      <c r="D265" s="56">
        <v>15000000</v>
      </c>
      <c r="E265" s="90" t="e">
        <f>IF(O265&gt;0,M265,0)</f>
        <v>#REF!</v>
      </c>
      <c r="J265" s="72"/>
      <c r="K265" s="56"/>
      <c r="M265" s="56" t="e">
        <f>IF(B265="withdrew",0,D265)</f>
        <v>#REF!</v>
      </c>
      <c r="N265" s="76" t="e">
        <f>SUM(M$177:M265)</f>
        <v>#REF!</v>
      </c>
      <c r="O265" s="76" t="e">
        <f>SUM($E$1-N265)</f>
        <v>#REF!</v>
      </c>
      <c r="P265" s="89" t="e">
        <f>SUM(N265:O265)</f>
        <v>#REF!</v>
      </c>
    </row>
    <row r="266" spans="1:16" ht="12">
      <c r="A266" s="21"/>
      <c r="B266" s="1" t="e">
        <f>'SC4 MF- TDHCA'!#REF!</f>
        <v>#REF!</v>
      </c>
      <c r="C266" s="50" t="s">
        <v>201</v>
      </c>
      <c r="D266" s="56"/>
      <c r="E266" s="1"/>
      <c r="J266" s="72"/>
      <c r="K266" s="56"/>
      <c r="M266" s="56"/>
    </row>
    <row r="267" spans="1:16" ht="12">
      <c r="A267" s="21"/>
      <c r="B267" s="1" t="e">
        <f>'SC4 MF- TDHCA'!#REF!</f>
        <v>#REF!</v>
      </c>
      <c r="C267" s="50" t="s">
        <v>266</v>
      </c>
      <c r="D267" s="56"/>
      <c r="E267" s="1"/>
      <c r="J267" s="72"/>
      <c r="K267" s="56"/>
      <c r="M267" s="56"/>
    </row>
    <row r="268" spans="1:16">
      <c r="A268" s="21"/>
      <c r="B268" s="1" t="e">
        <f>'SC4 MF- TDHCA'!#REF!</f>
        <v>#REF!</v>
      </c>
      <c r="D268" s="56"/>
      <c r="E268" s="1"/>
      <c r="J268" s="72"/>
      <c r="K268" s="56"/>
      <c r="M268" s="56"/>
    </row>
    <row r="269" spans="1:16" ht="12">
      <c r="A269" s="51">
        <v>153</v>
      </c>
      <c r="B269" s="1" t="e">
        <f>'SC4 MF- TDHCA'!#REF!</f>
        <v>#REF!</v>
      </c>
      <c r="C269" s="1" t="s">
        <v>78</v>
      </c>
      <c r="D269" s="56">
        <v>11380000</v>
      </c>
      <c r="E269" s="90" t="e">
        <f>IF(O269&gt;0,M269,0)</f>
        <v>#REF!</v>
      </c>
      <c r="J269" s="72"/>
      <c r="K269" s="56"/>
      <c r="M269" s="56" t="e">
        <f>IF(B269="withdrew",0,D269)</f>
        <v>#REF!</v>
      </c>
      <c r="N269" s="76" t="e">
        <f>SUM(M$177:M269)</f>
        <v>#REF!</v>
      </c>
      <c r="O269" s="76" t="e">
        <f>SUM($E$1-N269)</f>
        <v>#REF!</v>
      </c>
      <c r="P269" s="89" t="e">
        <f>SUM(N269:O269)</f>
        <v>#REF!</v>
      </c>
    </row>
    <row r="270" spans="1:16" ht="12">
      <c r="B270" s="1" t="e">
        <f>'SC4 MF- TDHCA'!#REF!</f>
        <v>#REF!</v>
      </c>
      <c r="C270" s="52" t="s">
        <v>47</v>
      </c>
      <c r="D270" s="56"/>
      <c r="E270" s="1"/>
      <c r="J270" s="72"/>
      <c r="K270" s="56"/>
      <c r="M270" s="56"/>
    </row>
    <row r="271" spans="1:16" ht="12">
      <c r="B271" s="1" t="e">
        <f>'SC4 MF- TDHCA'!#REF!</f>
        <v>#REF!</v>
      </c>
      <c r="C271" s="50" t="s">
        <v>125</v>
      </c>
      <c r="D271" s="56"/>
      <c r="E271" s="1"/>
      <c r="J271" s="72"/>
      <c r="K271" s="56"/>
      <c r="M271" s="56"/>
    </row>
    <row r="272" spans="1:16" ht="12">
      <c r="B272" s="1" t="e">
        <f>'SC4 MF- TDHCA'!#REF!</f>
        <v>#REF!</v>
      </c>
      <c r="C272" s="50"/>
      <c r="D272" s="56"/>
      <c r="E272" s="1"/>
      <c r="J272" s="72"/>
      <c r="K272" s="56"/>
      <c r="M272" s="56"/>
    </row>
    <row r="273" spans="1:16" ht="12">
      <c r="A273" s="51">
        <v>154</v>
      </c>
      <c r="B273" s="1" t="e">
        <f>'SC4 MF- TDHCA'!#REF!</f>
        <v>#REF!</v>
      </c>
      <c r="C273" s="50" t="s">
        <v>265</v>
      </c>
      <c r="D273" s="56">
        <v>10352300</v>
      </c>
      <c r="E273" s="90" t="e">
        <f>IF(O273&gt;0,M273,0)</f>
        <v>#REF!</v>
      </c>
      <c r="J273" s="72"/>
      <c r="K273" s="56"/>
      <c r="M273" s="56" t="e">
        <f>IF(B273="withdrew",0,D273)</f>
        <v>#REF!</v>
      </c>
      <c r="N273" s="76" t="e">
        <f>SUM(M$177:M273)</f>
        <v>#REF!</v>
      </c>
      <c r="O273" s="76" t="e">
        <f>SUM($E$1-N273)</f>
        <v>#REF!</v>
      </c>
      <c r="P273" s="89" t="e">
        <f>SUM(N273:O273)</f>
        <v>#REF!</v>
      </c>
    </row>
    <row r="274" spans="1:16" ht="12">
      <c r="A274" s="51"/>
      <c r="B274" s="1" t="e">
        <f>'SC4 MF- TDHCA'!#REF!</f>
        <v>#REF!</v>
      </c>
      <c r="C274" s="50" t="s">
        <v>114</v>
      </c>
      <c r="D274" s="56"/>
      <c r="E274" s="1"/>
      <c r="J274" s="72"/>
      <c r="K274" s="56"/>
      <c r="M274" s="56"/>
    </row>
    <row r="275" spans="1:16" ht="12">
      <c r="A275" s="51"/>
      <c r="B275" s="1" t="e">
        <f>'SC4 MF- TDHCA'!#REF!</f>
        <v>#REF!</v>
      </c>
      <c r="C275" s="50" t="s">
        <v>232</v>
      </c>
      <c r="D275" s="56"/>
      <c r="E275" s="1"/>
      <c r="J275" s="72"/>
      <c r="K275" s="56"/>
      <c r="M275" s="56"/>
    </row>
    <row r="276" spans="1:16" ht="12">
      <c r="A276" s="51"/>
      <c r="B276" s="1" t="e">
        <f>'SC4 MF- TDHCA'!#REF!</f>
        <v>#REF!</v>
      </c>
      <c r="C276" s="50"/>
      <c r="D276" s="56"/>
      <c r="E276" s="1"/>
      <c r="J276" s="72"/>
      <c r="K276" s="56"/>
      <c r="M276" s="56"/>
    </row>
    <row r="277" spans="1:16" ht="12">
      <c r="A277" s="51">
        <v>156</v>
      </c>
      <c r="B277" s="1" t="e">
        <f>'SC4 MF- TDHCA'!#REF!</f>
        <v>#REF!</v>
      </c>
      <c r="C277" s="50" t="s">
        <v>156</v>
      </c>
      <c r="D277" s="56">
        <v>11750000</v>
      </c>
      <c r="E277" s="90" t="e">
        <f>IF(O277&gt;0,M277,0)</f>
        <v>#REF!</v>
      </c>
      <c r="J277" s="72"/>
      <c r="K277" s="56"/>
      <c r="M277" s="56" t="e">
        <f>IF(B277="withdrew",0,D277)</f>
        <v>#REF!</v>
      </c>
      <c r="N277" s="76" t="e">
        <f>SUM(M$177:M277)</f>
        <v>#REF!</v>
      </c>
      <c r="O277" s="76" t="e">
        <f>SUM($E$1-N277)</f>
        <v>#REF!</v>
      </c>
      <c r="P277" s="89" t="e">
        <f>SUM(N277:O277)</f>
        <v>#REF!</v>
      </c>
    </row>
    <row r="278" spans="1:16" ht="12">
      <c r="A278" s="51"/>
      <c r="B278" s="1" t="e">
        <f>'SC4 MF- TDHCA'!#REF!</f>
        <v>#REF!</v>
      </c>
      <c r="C278" s="50" t="s">
        <v>175</v>
      </c>
      <c r="D278" s="56"/>
      <c r="E278" s="1"/>
      <c r="J278" s="72"/>
      <c r="K278" s="56"/>
      <c r="M278" s="56"/>
    </row>
    <row r="279" spans="1:16" ht="12">
      <c r="A279" s="51"/>
      <c r="B279" s="1" t="e">
        <f>'SC4 MF- TDHCA'!#REF!</f>
        <v>#REF!</v>
      </c>
      <c r="C279" s="50" t="s">
        <v>4</v>
      </c>
      <c r="D279" s="56"/>
      <c r="E279" s="1"/>
      <c r="J279" s="72"/>
      <c r="K279" s="56"/>
      <c r="M279" s="56"/>
    </row>
    <row r="280" spans="1:16" ht="12">
      <c r="A280" s="51"/>
      <c r="B280" s="1" t="e">
        <f>'SC4 MF- TDHCA'!#REF!</f>
        <v>#REF!</v>
      </c>
      <c r="C280" s="50"/>
      <c r="D280" s="56"/>
      <c r="E280" s="1"/>
      <c r="J280" s="72"/>
      <c r="K280" s="56"/>
      <c r="M280" s="56"/>
    </row>
    <row r="281" spans="1:16" ht="12">
      <c r="A281" s="51">
        <v>158</v>
      </c>
      <c r="B281" s="1" t="e">
        <f>'SC4 MF- TDHCA'!#REF!</f>
        <v>#REF!</v>
      </c>
      <c r="C281" s="50" t="s">
        <v>78</v>
      </c>
      <c r="D281" s="56">
        <v>9300000</v>
      </c>
      <c r="E281" s="90" t="e">
        <f>IF(O281&gt;0,M281,0)</f>
        <v>#REF!</v>
      </c>
      <c r="J281" s="72"/>
      <c r="K281" s="56"/>
      <c r="M281" s="56" t="e">
        <f>IF(B281="withdrew",0,D281)</f>
        <v>#REF!</v>
      </c>
      <c r="N281" s="76" t="e">
        <f>SUM(M$177:M281)</f>
        <v>#REF!</v>
      </c>
      <c r="O281" s="76" t="e">
        <f>SUM($E$1-N281)</f>
        <v>#REF!</v>
      </c>
      <c r="P281" s="89" t="e">
        <f>SUM(N281:O281)</f>
        <v>#REF!</v>
      </c>
    </row>
    <row r="282" spans="1:16" ht="12">
      <c r="A282" s="51"/>
      <c r="B282" s="1" t="e">
        <f>'SC4 MF- TDHCA'!#REF!</f>
        <v>#REF!</v>
      </c>
      <c r="C282" s="50" t="s">
        <v>271</v>
      </c>
      <c r="D282" s="56"/>
      <c r="E282" s="1"/>
      <c r="J282" s="72"/>
      <c r="K282" s="56"/>
      <c r="M282" s="56"/>
    </row>
    <row r="283" spans="1:16" ht="12">
      <c r="A283" s="51"/>
      <c r="B283" s="1" t="e">
        <f>'SC4 MF- TDHCA'!#REF!</f>
        <v>#REF!</v>
      </c>
      <c r="C283" s="50" t="s">
        <v>125</v>
      </c>
      <c r="D283" s="56"/>
      <c r="E283" s="1"/>
      <c r="J283" s="72"/>
      <c r="K283" s="56"/>
      <c r="M283" s="56"/>
    </row>
    <row r="284" spans="1:16" ht="12">
      <c r="A284" s="51"/>
      <c r="B284" s="1" t="e">
        <f>'SC4 MF- TDHCA'!#REF!</f>
        <v>#REF!</v>
      </c>
      <c r="C284" s="50"/>
      <c r="D284" s="56"/>
      <c r="E284" s="1"/>
      <c r="J284" s="72"/>
      <c r="K284" s="56"/>
      <c r="M284" s="56"/>
    </row>
    <row r="285" spans="1:16" ht="12">
      <c r="A285" s="51">
        <v>160</v>
      </c>
      <c r="B285" s="1" t="e">
        <f>'SC4 MF- TDHCA'!#REF!</f>
        <v>#REF!</v>
      </c>
      <c r="C285" s="50" t="s">
        <v>38</v>
      </c>
      <c r="D285" s="56">
        <v>4353764</v>
      </c>
      <c r="E285" s="90" t="e">
        <f>IF(O285&gt;0,M285,0)</f>
        <v>#REF!</v>
      </c>
      <c r="J285" s="72"/>
      <c r="K285" s="56"/>
      <c r="M285" s="56" t="e">
        <f>IF(B285="withdrew",0,D285)</f>
        <v>#REF!</v>
      </c>
      <c r="N285" s="76" t="e">
        <f>SUM(M$177:M285)</f>
        <v>#REF!</v>
      </c>
      <c r="O285" s="76" t="e">
        <f>SUM($E$1-N285)</f>
        <v>#REF!</v>
      </c>
      <c r="P285" s="89" t="e">
        <f>SUM(N285:O285)</f>
        <v>#REF!</v>
      </c>
    </row>
    <row r="286" spans="1:16" ht="12">
      <c r="A286" s="51"/>
      <c r="B286" s="1" t="e">
        <f>'SC4 MF- TDHCA'!#REF!</f>
        <v>#REF!</v>
      </c>
      <c r="C286" s="50" t="s">
        <v>85</v>
      </c>
      <c r="D286" s="56"/>
      <c r="E286" s="1"/>
      <c r="J286" s="72"/>
      <c r="K286" s="56"/>
      <c r="M286" s="56"/>
    </row>
    <row r="287" spans="1:16" ht="12">
      <c r="A287" s="51"/>
      <c r="B287" s="1" t="e">
        <f>'SC4 MF- TDHCA'!#REF!</f>
        <v>#REF!</v>
      </c>
      <c r="C287" s="50" t="s">
        <v>130</v>
      </c>
      <c r="D287" s="56"/>
      <c r="E287" s="1"/>
      <c r="J287" s="72"/>
      <c r="K287" s="56"/>
      <c r="M287" s="56"/>
    </row>
    <row r="288" spans="1:16" ht="12">
      <c r="A288" s="51"/>
      <c r="B288" s="1" t="e">
        <f>'SC4 MF- TDHCA'!#REF!</f>
        <v>#REF!</v>
      </c>
      <c r="C288" s="50"/>
      <c r="D288" s="56"/>
      <c r="E288" s="1"/>
      <c r="J288" s="72"/>
      <c r="K288" s="56"/>
      <c r="M288" s="56"/>
    </row>
    <row r="289" spans="1:16" ht="12">
      <c r="A289" s="51">
        <v>162</v>
      </c>
      <c r="B289" s="1" t="e">
        <f>'SC4 MF- TDHCA'!#REF!</f>
        <v>#REF!</v>
      </c>
      <c r="C289" s="50" t="s">
        <v>156</v>
      </c>
      <c r="D289" s="56">
        <v>12500000</v>
      </c>
      <c r="E289" s="90" t="e">
        <f>IF(O289&gt;0,M289,0)</f>
        <v>#REF!</v>
      </c>
      <c r="J289" s="72"/>
      <c r="K289" s="56"/>
      <c r="M289" s="56" t="e">
        <f>IF(B289="withdrew",0,D289)</f>
        <v>#REF!</v>
      </c>
      <c r="N289" s="76" t="e">
        <f>SUM(M$177:M289)</f>
        <v>#REF!</v>
      </c>
      <c r="O289" s="76" t="e">
        <f>SUM($E$1-N289)</f>
        <v>#REF!</v>
      </c>
      <c r="P289" s="89" t="e">
        <f>SUM(N289:O289)</f>
        <v>#REF!</v>
      </c>
    </row>
    <row r="290" spans="1:16" ht="12">
      <c r="B290" s="1" t="e">
        <f>'SC4 MF- TDHCA'!#REF!</f>
        <v>#REF!</v>
      </c>
      <c r="C290" s="50" t="s">
        <v>57</v>
      </c>
      <c r="D290" s="56"/>
      <c r="E290" s="1"/>
      <c r="J290" s="72"/>
      <c r="K290" s="56"/>
      <c r="M290" s="56"/>
    </row>
    <row r="291" spans="1:16" ht="12">
      <c r="B291" s="1" t="e">
        <f>'SC4 MF- TDHCA'!#REF!</f>
        <v>#REF!</v>
      </c>
      <c r="C291" s="50" t="s">
        <v>96</v>
      </c>
      <c r="D291" s="56"/>
      <c r="E291" s="1"/>
      <c r="J291" s="72"/>
      <c r="K291" s="56"/>
      <c r="M291" s="56"/>
    </row>
    <row r="292" spans="1:16" ht="12">
      <c r="A292" s="51"/>
      <c r="B292" s="1" t="e">
        <f>'SC4 MF- TDHCA'!#REF!</f>
        <v>#REF!</v>
      </c>
      <c r="C292" s="50"/>
      <c r="D292" s="56"/>
      <c r="E292" s="1"/>
      <c r="J292" s="72"/>
      <c r="K292" s="56"/>
      <c r="M292" s="56"/>
    </row>
    <row r="293" spans="1:16" ht="12">
      <c r="A293" s="51">
        <v>163</v>
      </c>
      <c r="B293" s="1" t="e">
        <f>'SC4 MF- TDHCA'!#REF!</f>
        <v>#REF!</v>
      </c>
      <c r="C293" s="50" t="s">
        <v>250</v>
      </c>
      <c r="D293" s="56">
        <v>9710000</v>
      </c>
      <c r="E293" s="90" t="e">
        <f>IF(O293&gt;0,M293,0)</f>
        <v>#REF!</v>
      </c>
      <c r="J293" s="72"/>
      <c r="K293" s="56"/>
      <c r="M293" s="56" t="e">
        <f>IF(B293="withdrew",0,D293)</f>
        <v>#REF!</v>
      </c>
      <c r="N293" s="76" t="e">
        <f>SUM(M$177:M293)</f>
        <v>#REF!</v>
      </c>
      <c r="O293" s="76" t="e">
        <f>SUM($E$1-N293)</f>
        <v>#REF!</v>
      </c>
      <c r="P293" s="89" t="e">
        <f>SUM(N293:O293)</f>
        <v>#REF!</v>
      </c>
    </row>
    <row r="294" spans="1:16" ht="12">
      <c r="B294" s="1" t="e">
        <f>'SC4 MF- TDHCA'!#REF!</f>
        <v>#REF!</v>
      </c>
      <c r="C294" t="s">
        <v>121</v>
      </c>
      <c r="D294" s="56"/>
      <c r="E294" s="1"/>
      <c r="J294" s="72"/>
      <c r="K294" s="56"/>
      <c r="M294" s="56"/>
    </row>
    <row r="295" spans="1:16" ht="12">
      <c r="B295" s="1" t="e">
        <f>'SC4 MF- TDHCA'!#REF!</f>
        <v>#REF!</v>
      </c>
      <c r="C295" s="50" t="s">
        <v>130</v>
      </c>
      <c r="D295" s="56"/>
      <c r="E295" s="1"/>
      <c r="J295" s="72"/>
      <c r="K295" s="56"/>
      <c r="M295" s="56"/>
    </row>
    <row r="296" spans="1:16" ht="12">
      <c r="A296" s="51"/>
      <c r="B296" s="1" t="e">
        <f>'SC4 MF- TDHCA'!#REF!</f>
        <v>#REF!</v>
      </c>
      <c r="C296"/>
      <c r="D296" s="56"/>
      <c r="E296" s="1"/>
      <c r="J296" s="72"/>
      <c r="K296" s="56"/>
      <c r="M296" s="56"/>
    </row>
    <row r="297" spans="1:16" ht="12">
      <c r="A297" s="51">
        <v>167</v>
      </c>
      <c r="B297" s="1" t="e">
        <f>'SC4 MF- TDHCA'!#REF!</f>
        <v>#REF!</v>
      </c>
      <c r="C297" s="50" t="s">
        <v>265</v>
      </c>
      <c r="D297" s="56">
        <v>11000000</v>
      </c>
      <c r="E297" s="90">
        <f>IF(O297&gt;0,M297,0)</f>
        <v>0</v>
      </c>
      <c r="J297" s="72"/>
      <c r="K297" s="56"/>
      <c r="M297" s="56" t="e">
        <f>IF(B297="withdrew",0,D297)</f>
        <v>#REF!</v>
      </c>
    </row>
    <row r="298" spans="1:16" ht="12">
      <c r="B298" s="1" t="e">
        <f>'SC4 MF- TDHCA'!#REF!</f>
        <v>#REF!</v>
      </c>
      <c r="C298" s="50" t="s">
        <v>122</v>
      </c>
      <c r="D298" s="56"/>
      <c r="J298" s="72"/>
      <c r="K298" s="56"/>
    </row>
    <row r="299" spans="1:16" ht="12">
      <c r="B299" s="1" t="e">
        <f>'SC4 MF- TDHCA'!#REF!</f>
        <v>#REF!</v>
      </c>
      <c r="C299" s="50" t="s">
        <v>232</v>
      </c>
      <c r="D299" s="56"/>
      <c r="J299" s="72"/>
      <c r="K299" s="56"/>
    </row>
    <row r="300" spans="1:16" ht="12">
      <c r="A300" s="51"/>
      <c r="B300" s="1" t="e">
        <f>'SC4 MF- TDHCA'!#REF!</f>
        <v>#REF!</v>
      </c>
      <c r="C300"/>
      <c r="D300" s="56"/>
      <c r="J300" s="72"/>
      <c r="K300" s="56"/>
    </row>
    <row r="301" spans="1:16" ht="12">
      <c r="A301" s="51">
        <v>170</v>
      </c>
      <c r="B301" s="1" t="e">
        <f>'SC4 MF- TDHCA'!#REF!</f>
        <v>#REF!</v>
      </c>
      <c r="C301" s="50" t="s">
        <v>82</v>
      </c>
      <c r="D301" s="56">
        <v>13000000</v>
      </c>
      <c r="E301" s="90">
        <f>IF(O301&gt;0,M301,0)</f>
        <v>0</v>
      </c>
      <c r="J301" s="72"/>
      <c r="K301" s="56"/>
    </row>
    <row r="302" spans="1:16" ht="12" customHeight="1">
      <c r="B302" s="1" t="e">
        <f>'SC4 MF- TDHCA'!#REF!</f>
        <v>#REF!</v>
      </c>
      <c r="C302" s="50" t="s">
        <v>190</v>
      </c>
      <c r="D302" s="56"/>
      <c r="J302" s="72"/>
      <c r="K302" s="56"/>
    </row>
    <row r="303" spans="1:16" ht="12" customHeight="1">
      <c r="B303" s="1" t="e">
        <f>'SC4 MF- TDHCA'!#REF!</f>
        <v>#REF!</v>
      </c>
      <c r="C303" s="50" t="s">
        <v>150</v>
      </c>
      <c r="D303" s="56"/>
      <c r="J303" s="72"/>
      <c r="K303" s="56"/>
    </row>
    <row r="304" spans="1:16" ht="12" customHeight="1">
      <c r="B304" s="1" t="e">
        <f>'SC4 MF- TDHCA'!#REF!</f>
        <v>#REF!</v>
      </c>
      <c r="C304" s="50"/>
      <c r="D304" s="56"/>
      <c r="J304" s="72"/>
      <c r="K304" s="56"/>
    </row>
    <row r="305" spans="1:11" ht="12" customHeight="1">
      <c r="A305" s="51">
        <v>175</v>
      </c>
      <c r="B305" s="1" t="e">
        <f>'SC4 MF- TDHCA'!#REF!</f>
        <v>#REF!</v>
      </c>
      <c r="C305" s="50" t="s">
        <v>226</v>
      </c>
      <c r="D305" s="56">
        <v>10000000</v>
      </c>
      <c r="E305" s="90">
        <f>IF(O305&gt;0,M305,0)</f>
        <v>0</v>
      </c>
      <c r="J305" s="72"/>
      <c r="K305" s="56"/>
    </row>
    <row r="306" spans="1:11" ht="12">
      <c r="B306" s="1" t="e">
        <f>'SC4 MF- TDHCA'!#REF!</f>
        <v>#REF!</v>
      </c>
      <c r="C306" s="50" t="s">
        <v>189</v>
      </c>
      <c r="D306" s="56"/>
      <c r="J306" s="72"/>
      <c r="K306" s="56"/>
    </row>
    <row r="307" spans="1:11" ht="12">
      <c r="B307" s="1" t="e">
        <f>'SC4 MF- TDHCA'!#REF!</f>
        <v>#REF!</v>
      </c>
      <c r="C307" s="50" t="s">
        <v>126</v>
      </c>
      <c r="D307" s="56"/>
      <c r="J307" s="72"/>
      <c r="K307" s="56"/>
    </row>
    <row r="308" spans="1:11">
      <c r="A308" s="21"/>
      <c r="B308" s="1" t="e">
        <f>'SC4 MF- TDHCA'!#REF!</f>
        <v>#REF!</v>
      </c>
      <c r="D308" s="56"/>
      <c r="J308" s="72"/>
      <c r="K308" s="56"/>
    </row>
    <row r="309" spans="1:11" ht="12">
      <c r="A309" s="21">
        <v>177</v>
      </c>
      <c r="B309" s="1" t="e">
        <f>'SC4 MF- TDHCA'!#REF!</f>
        <v>#REF!</v>
      </c>
      <c r="C309" s="50" t="s">
        <v>61</v>
      </c>
      <c r="D309" s="56">
        <v>13150000</v>
      </c>
      <c r="E309" s="90">
        <f>IF(O309&gt;0,M309,0)</f>
        <v>0</v>
      </c>
      <c r="J309" s="72"/>
      <c r="K309" s="56"/>
    </row>
    <row r="310" spans="1:11" ht="12">
      <c r="A310" s="21"/>
      <c r="B310" s="1" t="e">
        <f>'SC4 MF- TDHCA'!#REF!</f>
        <v>#REF!</v>
      </c>
      <c r="C310" s="50" t="s">
        <v>184</v>
      </c>
      <c r="D310" s="56"/>
      <c r="J310" s="72"/>
      <c r="K310" s="56"/>
    </row>
    <row r="311" spans="1:11" ht="12">
      <c r="A311" s="21"/>
      <c r="B311" s="1" t="e">
        <f>'SC4 MF- TDHCA'!#REF!</f>
        <v>#REF!</v>
      </c>
      <c r="C311" s="50" t="s">
        <v>128</v>
      </c>
      <c r="D311" s="56"/>
      <c r="J311" s="72"/>
      <c r="K311" s="56"/>
    </row>
    <row r="312" spans="1:11" ht="12">
      <c r="A312" s="21"/>
      <c r="B312" s="1" t="e">
        <f>'SC4 MF- TDHCA'!#REF!</f>
        <v>#REF!</v>
      </c>
      <c r="C312" s="50"/>
      <c r="D312" s="56"/>
      <c r="J312" s="72"/>
      <c r="K312" s="56"/>
    </row>
    <row r="313" spans="1:11" ht="12">
      <c r="A313" s="21">
        <v>180</v>
      </c>
      <c r="B313" s="1" t="e">
        <f>'SC4 MF- TDHCA'!#REF!</f>
        <v>#REF!</v>
      </c>
      <c r="C313" s="50" t="s">
        <v>78</v>
      </c>
      <c r="D313" s="56">
        <v>13475000</v>
      </c>
      <c r="E313" s="90">
        <f>IF(O313&gt;0,M313,0)</f>
        <v>0</v>
      </c>
      <c r="J313" s="72"/>
      <c r="K313" s="56"/>
    </row>
    <row r="314" spans="1:11" ht="12">
      <c r="A314" s="21"/>
      <c r="B314" s="1" t="e">
        <f>'SC4 MF- TDHCA'!#REF!</f>
        <v>#REF!</v>
      </c>
      <c r="C314" s="50" t="s">
        <v>75</v>
      </c>
      <c r="D314" s="56"/>
      <c r="J314" s="72"/>
      <c r="K314" s="56"/>
    </row>
    <row r="315" spans="1:11" ht="12">
      <c r="A315" s="21"/>
      <c r="B315" s="1" t="e">
        <f>'SC4 MF- TDHCA'!#REF!</f>
        <v>#REF!</v>
      </c>
      <c r="C315" s="50" t="s">
        <v>44</v>
      </c>
      <c r="D315" s="56"/>
      <c r="J315" s="72"/>
      <c r="K315" s="56"/>
    </row>
    <row r="316" spans="1:11" ht="12">
      <c r="A316" s="21"/>
      <c r="B316" s="1" t="e">
        <f>'SC4 MF- TDHCA'!#REF!</f>
        <v>#REF!</v>
      </c>
      <c r="C316" s="50"/>
      <c r="D316" s="56"/>
      <c r="J316" s="72"/>
      <c r="K316" s="56"/>
    </row>
    <row r="317" spans="1:11" ht="12">
      <c r="A317" s="21">
        <v>182</v>
      </c>
      <c r="B317" s="1" t="e">
        <f>'SC4 MF- TDHCA'!#REF!</f>
        <v>#REF!</v>
      </c>
      <c r="C317" s="50" t="s">
        <v>156</v>
      </c>
      <c r="D317" s="56">
        <v>11500000</v>
      </c>
      <c r="E317" s="90">
        <f>IF(O317&gt;0,M317,0)</f>
        <v>0</v>
      </c>
      <c r="J317" s="72"/>
      <c r="K317" s="56"/>
    </row>
    <row r="318" spans="1:11" ht="12">
      <c r="A318" s="21"/>
      <c r="B318" s="1" t="e">
        <f>'SC4 MF- TDHCA'!#REF!</f>
        <v>#REF!</v>
      </c>
      <c r="C318" s="50" t="s">
        <v>170</v>
      </c>
      <c r="D318" s="56"/>
      <c r="J318" s="72"/>
      <c r="K318" s="56"/>
    </row>
    <row r="319" spans="1:11" ht="12">
      <c r="A319" s="21"/>
      <c r="B319" s="1" t="e">
        <f>'SC4 MF- TDHCA'!#REF!</f>
        <v>#REF!</v>
      </c>
      <c r="C319" s="50" t="s">
        <v>44</v>
      </c>
      <c r="D319" s="56"/>
      <c r="J319" s="72"/>
      <c r="K319" s="56"/>
    </row>
    <row r="320" spans="1:11" ht="12">
      <c r="A320" s="21"/>
      <c r="B320" s="1" t="e">
        <f>'SC4 MF- TDHCA'!#REF!</f>
        <v>#REF!</v>
      </c>
      <c r="C320" s="50"/>
      <c r="D320" s="56"/>
      <c r="J320" s="72"/>
      <c r="K320" s="56"/>
    </row>
    <row r="321" spans="1:11" ht="12">
      <c r="A321" s="21">
        <v>185</v>
      </c>
      <c r="B321" s="1" t="e">
        <f>'SC4 MF- TDHCA'!#REF!</f>
        <v>#REF!</v>
      </c>
      <c r="C321" s="50" t="s">
        <v>64</v>
      </c>
      <c r="D321" s="56">
        <v>15000000</v>
      </c>
      <c r="E321" s="90">
        <f>IF(O321&gt;0,M321,0)</f>
        <v>0</v>
      </c>
      <c r="J321" s="72"/>
      <c r="K321" s="56"/>
    </row>
    <row r="322" spans="1:11" ht="12">
      <c r="A322" s="21"/>
      <c r="B322" s="1" t="e">
        <f>'SC4 MF- TDHCA'!#REF!</f>
        <v>#REF!</v>
      </c>
      <c r="C322" s="50" t="s">
        <v>167</v>
      </c>
      <c r="D322" s="56"/>
      <c r="J322" s="72"/>
      <c r="K322" s="56"/>
    </row>
    <row r="323" spans="1:11" ht="12">
      <c r="A323" s="21"/>
      <c r="B323" s="1" t="e">
        <f>'SC4 MF- TDHCA'!#REF!</f>
        <v>#REF!</v>
      </c>
      <c r="C323" s="50" t="s">
        <v>283</v>
      </c>
      <c r="D323" s="56"/>
      <c r="J323" s="72"/>
      <c r="K323" s="56"/>
    </row>
    <row r="324" spans="1:11" ht="12">
      <c r="A324" s="21"/>
      <c r="B324" s="1" t="e">
        <f>'SC4 MF- TDHCA'!#REF!</f>
        <v>#REF!</v>
      </c>
      <c r="C324" s="50"/>
      <c r="D324" s="56"/>
      <c r="J324" s="72"/>
      <c r="K324" s="56"/>
    </row>
    <row r="325" spans="1:11" ht="12">
      <c r="A325" s="21">
        <v>186</v>
      </c>
      <c r="B325" s="1" t="e">
        <f>'SC4 MF- TDHCA'!#REF!</f>
        <v>#REF!</v>
      </c>
      <c r="C325" s="50" t="s">
        <v>222</v>
      </c>
      <c r="D325" s="56">
        <v>9500000</v>
      </c>
      <c r="J325" s="72"/>
      <c r="K325" s="56"/>
    </row>
    <row r="326" spans="1:11" ht="12">
      <c r="A326" s="21"/>
      <c r="B326" s="1" t="e">
        <f>'SC4 MF- TDHCA'!#REF!</f>
        <v>#REF!</v>
      </c>
      <c r="C326" s="50" t="s">
        <v>212</v>
      </c>
      <c r="D326" s="56"/>
      <c r="J326" s="72"/>
      <c r="K326" s="56"/>
    </row>
    <row r="327" spans="1:11" ht="12">
      <c r="A327" s="21"/>
      <c r="B327" s="1" t="e">
        <f>'SC4 MF- TDHCA'!#REF!</f>
        <v>#REF!</v>
      </c>
      <c r="C327" s="50" t="s">
        <v>33</v>
      </c>
      <c r="D327" s="56"/>
      <c r="J327" s="72"/>
      <c r="K327" s="56"/>
    </row>
    <row r="328" spans="1:11" ht="12">
      <c r="A328" s="21"/>
      <c r="B328" s="1" t="e">
        <f>'SC4 MF- TDHCA'!#REF!</f>
        <v>#REF!</v>
      </c>
      <c r="C328" s="50"/>
      <c r="D328" s="56"/>
      <c r="J328" s="72"/>
      <c r="K328" s="56"/>
    </row>
    <row r="329" spans="1:11" ht="12">
      <c r="A329" s="21">
        <v>187</v>
      </c>
      <c r="B329" s="1" t="e">
        <f>'SC4 MF- TDHCA'!#REF!</f>
        <v>#REF!</v>
      </c>
      <c r="C329" s="50" t="s">
        <v>285</v>
      </c>
      <c r="D329" s="56">
        <v>4500000</v>
      </c>
      <c r="J329" s="72"/>
      <c r="K329" s="56"/>
    </row>
    <row r="330" spans="1:11" ht="12">
      <c r="A330" s="21"/>
      <c r="B330" s="1" t="e">
        <f>'SC4 MF- TDHCA'!#REF!</f>
        <v>#REF!</v>
      </c>
      <c r="C330" s="50" t="s">
        <v>286</v>
      </c>
      <c r="D330" s="56"/>
      <c r="J330" s="72"/>
      <c r="K330" s="56"/>
    </row>
    <row r="331" spans="1:11" ht="12">
      <c r="A331" s="21"/>
      <c r="B331" s="1" t="e">
        <f>'SC4 MF- TDHCA'!#REF!</f>
        <v>#REF!</v>
      </c>
      <c r="C331" s="50" t="s">
        <v>210</v>
      </c>
      <c r="D331" s="56"/>
      <c r="J331" s="72"/>
      <c r="K331" s="56"/>
    </row>
    <row r="332" spans="1:11" ht="12">
      <c r="A332" s="21"/>
      <c r="B332" s="1" t="e">
        <f>'SC4 MF- TDHCA'!#REF!</f>
        <v>#REF!</v>
      </c>
      <c r="C332" s="50"/>
      <c r="D332" s="56"/>
      <c r="J332" s="72"/>
      <c r="K332" s="56"/>
    </row>
    <row r="333" spans="1:11" ht="12">
      <c r="A333" s="21">
        <v>188</v>
      </c>
      <c r="B333" s="1" t="e">
        <f>'SC4 MF- TDHCA'!#REF!</f>
        <v>#REF!</v>
      </c>
      <c r="C333" s="50" t="s">
        <v>36</v>
      </c>
      <c r="D333" s="56">
        <v>10000000</v>
      </c>
      <c r="J333" s="72"/>
      <c r="K333" s="56"/>
    </row>
    <row r="334" spans="1:11" ht="12">
      <c r="A334" s="21"/>
      <c r="B334" s="1" t="e">
        <f>'SC4 MF- TDHCA'!#REF!</f>
        <v>#REF!</v>
      </c>
      <c r="C334" s="50" t="s">
        <v>98</v>
      </c>
      <c r="D334" s="56"/>
      <c r="J334" s="72"/>
      <c r="K334" s="56"/>
    </row>
    <row r="335" spans="1:11" ht="12">
      <c r="A335" s="21"/>
      <c r="B335" s="1" t="e">
        <f>'SC4 MF- TDHCA'!#REF!</f>
        <v>#REF!</v>
      </c>
      <c r="C335" s="50" t="s">
        <v>232</v>
      </c>
      <c r="D335" s="56"/>
      <c r="J335" s="72"/>
      <c r="K335" s="56"/>
    </row>
    <row r="336" spans="1:11" ht="12">
      <c r="A336" s="21"/>
      <c r="B336" s="1" t="e">
        <f>'SC4 MF- TDHCA'!#REF!</f>
        <v>#REF!</v>
      </c>
      <c r="C336" s="50"/>
      <c r="D336" s="56"/>
      <c r="J336" s="72"/>
      <c r="K336" s="56"/>
    </row>
    <row r="337" spans="1:11" ht="12">
      <c r="A337" s="21">
        <v>189</v>
      </c>
      <c r="B337" s="1" t="e">
        <f>'SC4 MF- TDHCA'!#REF!</f>
        <v>#REF!</v>
      </c>
      <c r="C337" s="50" t="s">
        <v>156</v>
      </c>
      <c r="D337" s="56">
        <v>14100000</v>
      </c>
      <c r="J337" s="72"/>
      <c r="K337" s="56"/>
    </row>
    <row r="338" spans="1:11" ht="12">
      <c r="A338" s="21"/>
      <c r="B338" s="1" t="e">
        <f>'SC4 MF- TDHCA'!#REF!</f>
        <v>#REF!</v>
      </c>
      <c r="C338" s="50" t="s">
        <v>117</v>
      </c>
      <c r="D338" s="56"/>
      <c r="J338" s="72"/>
      <c r="K338" s="56"/>
    </row>
    <row r="339" spans="1:11" ht="12">
      <c r="A339" s="21"/>
      <c r="B339" s="1" t="e">
        <f>'SC4 MF- TDHCA'!#REF!</f>
        <v>#REF!</v>
      </c>
      <c r="C339" s="50" t="s">
        <v>96</v>
      </c>
      <c r="D339" s="56"/>
      <c r="J339" s="72"/>
      <c r="K339" s="56"/>
    </row>
    <row r="340" spans="1:11">
      <c r="A340" s="21"/>
      <c r="B340" s="1" t="e">
        <f>'SC4 MF- TDHCA'!#REF!</f>
        <v>#REF!</v>
      </c>
      <c r="D340" s="56"/>
      <c r="J340" s="72"/>
      <c r="K340" s="56"/>
    </row>
    <row r="341" spans="1:11">
      <c r="A341" s="21">
        <v>190</v>
      </c>
      <c r="B341" s="1" t="e">
        <f>'SC4 MF- TDHCA'!#REF!</f>
        <v>#REF!</v>
      </c>
      <c r="C341" s="1" t="s">
        <v>124</v>
      </c>
      <c r="D341" s="56">
        <v>11000000</v>
      </c>
      <c r="J341" s="72"/>
      <c r="K341" s="56"/>
    </row>
    <row r="342" spans="1:11" ht="12">
      <c r="A342" s="21"/>
      <c r="B342" s="1" t="e">
        <f>'SC4 MF- TDHCA'!#REF!</f>
        <v>#REF!</v>
      </c>
      <c r="C342" s="50" t="s">
        <v>123</v>
      </c>
      <c r="D342" s="56"/>
      <c r="J342" s="72"/>
      <c r="K342" s="56"/>
    </row>
    <row r="343" spans="1:11" ht="12">
      <c r="A343" s="21"/>
      <c r="B343" s="1" t="e">
        <f>'SC4 MF- TDHCA'!#REF!</f>
        <v>#REF!</v>
      </c>
      <c r="C343" s="50" t="s">
        <v>232</v>
      </c>
      <c r="D343" s="56"/>
      <c r="J343" s="72"/>
      <c r="K343" s="56"/>
    </row>
    <row r="344" spans="1:11" ht="12">
      <c r="A344" s="21"/>
      <c r="B344" s="1" t="e">
        <f>'SC4 MF- TDHCA'!#REF!</f>
        <v>#REF!</v>
      </c>
      <c r="C344" s="50"/>
      <c r="D344" s="56"/>
      <c r="J344" s="72"/>
      <c r="K344" s="56"/>
    </row>
    <row r="345" spans="1:11" ht="12">
      <c r="A345" s="21">
        <v>194</v>
      </c>
      <c r="B345" s="1" t="e">
        <f>'SC4 MF- TDHCA'!#REF!</f>
        <v>#REF!</v>
      </c>
      <c r="C345" s="50" t="s">
        <v>156</v>
      </c>
      <c r="D345" s="56">
        <v>11500000</v>
      </c>
      <c r="J345" s="72"/>
      <c r="K345" s="56"/>
    </row>
    <row r="346" spans="1:11" ht="12">
      <c r="A346" s="21"/>
      <c r="B346" s="1" t="e">
        <f>'SC4 MF- TDHCA'!#REF!</f>
        <v>#REF!</v>
      </c>
      <c r="C346" s="50" t="s">
        <v>142</v>
      </c>
      <c r="D346" s="56"/>
      <c r="J346" s="72"/>
      <c r="K346" s="56"/>
    </row>
    <row r="347" spans="1:11" ht="12">
      <c r="A347" s="21"/>
      <c r="B347" s="1" t="e">
        <f>'SC4 MF- TDHCA'!#REF!</f>
        <v>#REF!</v>
      </c>
      <c r="C347" s="50" t="s">
        <v>44</v>
      </c>
      <c r="D347" s="56"/>
      <c r="J347" s="72"/>
      <c r="K347" s="56"/>
    </row>
    <row r="348" spans="1:11" ht="12">
      <c r="A348" s="21"/>
      <c r="B348" s="1" t="e">
        <f>'SC4 MF- TDHCA'!#REF!</f>
        <v>#REF!</v>
      </c>
      <c r="C348" s="50"/>
      <c r="D348" s="56"/>
      <c r="J348" s="72"/>
      <c r="K348" s="56"/>
    </row>
    <row r="349" spans="1:11" ht="12">
      <c r="A349" s="21">
        <v>195</v>
      </c>
      <c r="B349" s="1" t="e">
        <f>'SC4 MF- TDHCA'!#REF!</f>
        <v>#REF!</v>
      </c>
      <c r="C349" s="50" t="s">
        <v>156</v>
      </c>
      <c r="D349" s="56">
        <v>8750000</v>
      </c>
      <c r="J349" s="72"/>
      <c r="K349" s="56"/>
    </row>
    <row r="350" spans="1:11" ht="12">
      <c r="A350" s="21"/>
      <c r="B350" s="1" t="e">
        <f>'SC4 MF- TDHCA'!#REF!</f>
        <v>#REF!</v>
      </c>
      <c r="C350" s="50" t="s">
        <v>143</v>
      </c>
      <c r="D350" s="56"/>
      <c r="J350" s="72"/>
      <c r="K350" s="56"/>
    </row>
    <row r="351" spans="1:11" ht="12">
      <c r="A351" s="21"/>
      <c r="B351" s="1" t="e">
        <f>'SC4 MF- TDHCA'!#REF!</f>
        <v>#REF!</v>
      </c>
      <c r="C351" s="50" t="s">
        <v>232</v>
      </c>
      <c r="D351" s="56"/>
      <c r="J351" s="72"/>
      <c r="K351" s="56"/>
    </row>
    <row r="352" spans="1:11" ht="12">
      <c r="A352" s="21"/>
      <c r="B352" s="1" t="e">
        <f>'SC4 MF- TDHCA'!#REF!</f>
        <v>#REF!</v>
      </c>
      <c r="C352" s="50"/>
      <c r="D352" s="56"/>
      <c r="J352" s="72"/>
      <c r="K352" s="56"/>
    </row>
    <row r="353" spans="1:11" ht="12">
      <c r="A353" s="21">
        <v>196</v>
      </c>
      <c r="B353" s="1" t="e">
        <f>'SC4 MF- TDHCA'!#REF!</f>
        <v>#REF!</v>
      </c>
      <c r="C353" s="50" t="s">
        <v>156</v>
      </c>
      <c r="D353" s="56">
        <v>14100000</v>
      </c>
      <c r="J353" s="72"/>
      <c r="K353" s="56"/>
    </row>
    <row r="354" spans="1:11" ht="12">
      <c r="A354" s="21"/>
      <c r="B354" s="1" t="e">
        <f>'SC4 MF- TDHCA'!#REF!</f>
        <v>#REF!</v>
      </c>
      <c r="C354" s="50" t="s">
        <v>39</v>
      </c>
      <c r="D354" s="56"/>
      <c r="J354" s="72"/>
      <c r="K354" s="56"/>
    </row>
    <row r="355" spans="1:11" ht="12">
      <c r="A355" s="21"/>
      <c r="B355" s="1" t="e">
        <f>'SC4 MF- TDHCA'!#REF!</f>
        <v>#REF!</v>
      </c>
      <c r="C355" s="50" t="s">
        <v>96</v>
      </c>
      <c r="D355" s="56"/>
      <c r="J355" s="72"/>
      <c r="K355" s="56"/>
    </row>
    <row r="356" spans="1:11" ht="12">
      <c r="A356" s="21"/>
      <c r="B356" s="1" t="e">
        <f>'SC4 MF- TDHCA'!#REF!</f>
        <v>#REF!</v>
      </c>
      <c r="C356" s="50"/>
      <c r="D356" s="56"/>
      <c r="J356" s="72"/>
      <c r="K356" s="56"/>
    </row>
    <row r="357" spans="1:11" ht="12">
      <c r="A357" s="21">
        <v>197</v>
      </c>
      <c r="B357" s="1" t="e">
        <f>'SC4 MF- TDHCA'!#REF!</f>
        <v>#REF!</v>
      </c>
      <c r="C357" s="50" t="s">
        <v>36</v>
      </c>
      <c r="D357" s="56">
        <v>1900000</v>
      </c>
      <c r="J357" s="72"/>
      <c r="K357" s="56"/>
    </row>
    <row r="358" spans="1:11" ht="12">
      <c r="A358" s="21" t="s">
        <v>28</v>
      </c>
      <c r="B358" s="1" t="e">
        <f>'SC4 MF- TDHCA'!#REF!</f>
        <v>#REF!</v>
      </c>
      <c r="C358" s="50" t="s">
        <v>260</v>
      </c>
      <c r="D358" s="56"/>
      <c r="J358" s="72"/>
      <c r="K358" s="56"/>
    </row>
    <row r="359" spans="1:11" ht="12">
      <c r="A359" s="21"/>
      <c r="B359" s="1" t="e">
        <f>'SC4 MF- TDHCA'!#REF!</f>
        <v>#REF!</v>
      </c>
      <c r="C359" s="50" t="s">
        <v>232</v>
      </c>
      <c r="D359" s="56"/>
      <c r="J359" s="72"/>
      <c r="K359" s="56"/>
    </row>
    <row r="360" spans="1:11" ht="12">
      <c r="A360" s="21"/>
      <c r="B360" s="1" t="e">
        <f>'SC4 MF- TDHCA'!#REF!</f>
        <v>#REF!</v>
      </c>
      <c r="C360" s="50"/>
      <c r="D360" s="56"/>
      <c r="J360" s="72"/>
      <c r="K360" s="56"/>
    </row>
    <row r="361" spans="1:11" ht="12">
      <c r="A361" s="21">
        <v>206</v>
      </c>
      <c r="B361" s="1" t="e">
        <f>'SC4 MF- TDHCA'!#REF!</f>
        <v>#REF!</v>
      </c>
      <c r="C361" s="50" t="s">
        <v>156</v>
      </c>
      <c r="D361" s="56">
        <v>12125000</v>
      </c>
      <c r="J361" s="72"/>
      <c r="K361" s="56"/>
    </row>
    <row r="362" spans="1:11" ht="12">
      <c r="A362" s="21" t="s">
        <v>28</v>
      </c>
      <c r="B362" s="1" t="e">
        <f>'SC4 MF- TDHCA'!#REF!</f>
        <v>#REF!</v>
      </c>
      <c r="C362" s="50" t="s">
        <v>213</v>
      </c>
      <c r="D362" s="56"/>
      <c r="J362" s="72"/>
      <c r="K362" s="56"/>
    </row>
    <row r="363" spans="1:11" ht="12">
      <c r="A363" s="21"/>
      <c r="B363" s="1" t="e">
        <f>'SC4 MF- TDHCA'!#REF!</f>
        <v>#REF!</v>
      </c>
      <c r="C363" s="50" t="s">
        <v>232</v>
      </c>
      <c r="D363" s="56"/>
      <c r="J363" s="72"/>
      <c r="K363" s="56"/>
    </row>
    <row r="364" spans="1:11" ht="12">
      <c r="A364" s="21"/>
      <c r="B364" s="1" t="e">
        <f>'SC4 MF- TDHCA'!#REF!</f>
        <v>#REF!</v>
      </c>
      <c r="C364" s="50"/>
      <c r="D364" s="56"/>
      <c r="J364" s="72"/>
      <c r="K364" s="56"/>
    </row>
    <row r="365" spans="1:11" ht="12">
      <c r="A365" s="21">
        <v>207</v>
      </c>
      <c r="B365" s="1" t="e">
        <f>'SC4 MF- TDHCA'!#REF!</f>
        <v>#REF!</v>
      </c>
      <c r="C365" s="50" t="s">
        <v>38</v>
      </c>
      <c r="D365" s="56">
        <v>10000000</v>
      </c>
      <c r="J365" s="72"/>
      <c r="K365" s="56"/>
    </row>
    <row r="366" spans="1:11" ht="12">
      <c r="A366" s="21"/>
      <c r="B366" s="1" t="e">
        <f>'SC4 MF- TDHCA'!#REF!</f>
        <v>#REF!</v>
      </c>
      <c r="C366" s="50" t="s">
        <v>187</v>
      </c>
      <c r="D366" s="56"/>
      <c r="J366" s="72"/>
      <c r="K366" s="56"/>
    </row>
    <row r="367" spans="1:11" ht="12">
      <c r="A367" s="21"/>
      <c r="B367" s="1" t="e">
        <f>'SC4 MF- TDHCA'!#REF!</f>
        <v>#REF!</v>
      </c>
      <c r="C367" s="50" t="s">
        <v>130</v>
      </c>
      <c r="D367" s="56"/>
      <c r="J367" s="72"/>
      <c r="K367" s="56"/>
    </row>
    <row r="368" spans="1:11" ht="12">
      <c r="A368" s="21"/>
      <c r="B368" s="1" t="e">
        <f>'SC4 MF- TDHCA'!#REF!</f>
        <v>#REF!</v>
      </c>
      <c r="C368" s="50"/>
      <c r="D368" s="56"/>
      <c r="J368" s="72"/>
      <c r="K368" s="56"/>
    </row>
    <row r="369" spans="1:12" ht="12">
      <c r="A369" s="21">
        <v>208</v>
      </c>
      <c r="B369" s="1" t="e">
        <f>'SC4 MF- TDHCA'!#REF!</f>
        <v>#REF!</v>
      </c>
      <c r="C369" s="50" t="s">
        <v>156</v>
      </c>
      <c r="D369" s="56">
        <v>11800000</v>
      </c>
      <c r="J369" s="72"/>
      <c r="K369" s="56"/>
    </row>
    <row r="370" spans="1:12" ht="12">
      <c r="A370" s="21"/>
      <c r="B370" s="1" t="e">
        <f>'SC4 MF- TDHCA'!#REF!</f>
        <v>#REF!</v>
      </c>
      <c r="C370" s="50" t="s">
        <v>110</v>
      </c>
      <c r="D370" s="56"/>
      <c r="J370" s="72"/>
      <c r="K370" s="56"/>
    </row>
    <row r="371" spans="1:12" ht="12">
      <c r="A371" s="21"/>
      <c r="B371" s="1" t="e">
        <f>'SC4 MF- TDHCA'!#REF!</f>
        <v>#REF!</v>
      </c>
      <c r="C371" s="50" t="s">
        <v>20</v>
      </c>
      <c r="D371" s="56"/>
      <c r="J371" s="72"/>
      <c r="K371" s="56"/>
    </row>
    <row r="372" spans="1:12" ht="12">
      <c r="A372" s="21"/>
      <c r="B372" s="1" t="e">
        <f>'SC4 MF- TDHCA'!#REF!</f>
        <v>#REF!</v>
      </c>
      <c r="C372" s="50"/>
      <c r="D372" s="56"/>
      <c r="J372" s="72"/>
      <c r="K372" s="56"/>
    </row>
    <row r="373" spans="1:12" ht="12">
      <c r="A373" s="21">
        <v>209</v>
      </c>
      <c r="B373" s="1" t="e">
        <f>'SC4 MF- TDHCA'!#REF!</f>
        <v>#REF!</v>
      </c>
      <c r="C373" s="50" t="s">
        <v>156</v>
      </c>
      <c r="D373" s="56">
        <v>11500000</v>
      </c>
      <c r="J373" s="72"/>
      <c r="K373" s="56"/>
    </row>
    <row r="374" spans="1:12" ht="12">
      <c r="A374" s="21"/>
      <c r="B374" s="1" t="e">
        <f>'SC4 MF- TDHCA'!#REF!</f>
        <v>#REF!</v>
      </c>
      <c r="C374" s="50" t="s">
        <v>269</v>
      </c>
      <c r="D374" s="56"/>
      <c r="J374" s="72"/>
      <c r="K374" s="56"/>
    </row>
    <row r="375" spans="1:12" ht="12">
      <c r="A375" s="21"/>
      <c r="B375" s="1" t="e">
        <f>'SC4 MF- TDHCA'!#REF!</f>
        <v>#REF!</v>
      </c>
      <c r="C375" s="50" t="s">
        <v>232</v>
      </c>
      <c r="D375" s="56"/>
      <c r="J375" s="72"/>
      <c r="K375" s="56"/>
    </row>
    <row r="376" spans="1:12" ht="12">
      <c r="A376" s="21"/>
      <c r="B376" s="1" t="e">
        <f>'SC4 MF- TDHCA'!#REF!</f>
        <v>#REF!</v>
      </c>
      <c r="C376" s="52"/>
      <c r="D376" s="56"/>
      <c r="J376" s="72"/>
      <c r="K376" s="56"/>
    </row>
    <row r="377" spans="1:12" ht="12">
      <c r="A377" s="55" t="s">
        <v>3</v>
      </c>
      <c r="B377" s="1" t="e">
        <f>'SC4 MF- TDHCA'!#REF!</f>
        <v>#REF!</v>
      </c>
      <c r="C377" s="50"/>
      <c r="D377" s="56"/>
      <c r="J377" s="72"/>
      <c r="K377" s="56"/>
    </row>
    <row r="378" spans="1:12" ht="12">
      <c r="A378" s="55"/>
      <c r="B378" s="1" t="e">
        <f>'SC4 MF- TDHCA'!#REF!</f>
        <v>#REF!</v>
      </c>
      <c r="C378" s="50"/>
      <c r="D378" s="56"/>
      <c r="J378" s="72"/>
      <c r="K378" s="56"/>
    </row>
    <row r="379" spans="1:12" ht="12">
      <c r="A379" s="21" t="s">
        <v>173</v>
      </c>
      <c r="B379" s="1" t="e">
        <f>'SC4 MF- TDHCA'!#REF!</f>
        <v>#REF!</v>
      </c>
      <c r="C379" s="50" t="s">
        <v>64</v>
      </c>
      <c r="D379" s="56">
        <v>13500000</v>
      </c>
      <c r="J379" s="72"/>
      <c r="K379" s="56"/>
      <c r="L379" s="3">
        <v>35363</v>
      </c>
    </row>
    <row r="380" spans="1:12" ht="12">
      <c r="A380" s="21"/>
      <c r="B380" s="1" t="e">
        <f>'SC4 MF- TDHCA'!#REF!</f>
        <v>#REF!</v>
      </c>
      <c r="C380" s="52" t="s">
        <v>77</v>
      </c>
      <c r="D380" s="56"/>
      <c r="J380" s="72"/>
      <c r="K380" s="56"/>
    </row>
    <row r="381" spans="1:12" ht="12">
      <c r="A381" s="21"/>
      <c r="B381" s="1" t="e">
        <f>'SC4 MF- TDHCA'!#REF!</f>
        <v>#REF!</v>
      </c>
      <c r="C381" s="50" t="s">
        <v>283</v>
      </c>
      <c r="D381" s="56"/>
      <c r="J381" s="72"/>
      <c r="K381" s="56"/>
    </row>
    <row r="382" spans="1:12">
      <c r="A382" s="21"/>
      <c r="B382" s="1" t="e">
        <f>'SC4 MF- TDHCA'!#REF!</f>
        <v>#REF!</v>
      </c>
      <c r="D382" s="56"/>
      <c r="J382" s="72"/>
      <c r="K382" s="56"/>
    </row>
    <row r="383" spans="1:12" ht="12">
      <c r="A383" s="51">
        <v>2</v>
      </c>
      <c r="B383" s="1" t="e">
        <f>'SC4 MF- TDHCA'!#REF!</f>
        <v>#REF!</v>
      </c>
      <c r="C383" s="50" t="s">
        <v>156</v>
      </c>
      <c r="D383" s="56">
        <v>13500000</v>
      </c>
      <c r="J383" s="72"/>
      <c r="K383" s="56"/>
    </row>
    <row r="384" spans="1:12" ht="12">
      <c r="A384" s="51"/>
      <c r="B384" s="1" t="e">
        <f>'SC4 MF- TDHCA'!#REF!</f>
        <v>#REF!</v>
      </c>
      <c r="C384" s="50" t="s">
        <v>193</v>
      </c>
      <c r="D384" s="56"/>
      <c r="J384" s="72"/>
      <c r="K384" s="56"/>
    </row>
    <row r="385" spans="1:11" ht="12">
      <c r="A385" s="51"/>
      <c r="B385" s="1" t="e">
        <f>'SC4 MF- TDHCA'!#REF!</f>
        <v>#REF!</v>
      </c>
      <c r="C385" s="50" t="s">
        <v>232</v>
      </c>
      <c r="D385" s="56"/>
      <c r="J385" s="72"/>
      <c r="K385" s="56"/>
    </row>
    <row r="386" spans="1:11" ht="12">
      <c r="A386" s="51"/>
      <c r="B386" s="1" t="e">
        <f>'SC4 MF- TDHCA'!#REF!</f>
        <v>#REF!</v>
      </c>
      <c r="C386" s="50"/>
      <c r="D386" s="56"/>
      <c r="J386" s="72"/>
      <c r="K386" s="56"/>
    </row>
    <row r="387" spans="1:11" ht="12">
      <c r="A387" s="51">
        <v>4</v>
      </c>
      <c r="B387" s="1" t="e">
        <f>'SC4 MF- TDHCA'!#REF!</f>
        <v>#REF!</v>
      </c>
      <c r="C387" s="50" t="s">
        <v>38</v>
      </c>
      <c r="D387" s="56">
        <v>8400000</v>
      </c>
      <c r="J387" s="72"/>
      <c r="K387" s="56"/>
    </row>
    <row r="388" spans="1:11" ht="12">
      <c r="A388" s="51"/>
      <c r="B388" s="1" t="e">
        <f>'SC4 MF- TDHCA'!#REF!</f>
        <v>#REF!</v>
      </c>
      <c r="C388" s="50" t="s">
        <v>244</v>
      </c>
      <c r="D388" s="56"/>
      <c r="J388" s="72"/>
      <c r="K388" s="56"/>
    </row>
    <row r="389" spans="1:11" ht="12">
      <c r="A389" s="51"/>
      <c r="B389" s="1" t="e">
        <f>'SC4 MF- TDHCA'!#REF!</f>
        <v>#REF!</v>
      </c>
      <c r="C389" s="50" t="s">
        <v>130</v>
      </c>
      <c r="D389" s="56"/>
      <c r="J389" s="72"/>
      <c r="K389" s="56"/>
    </row>
    <row r="390" spans="1:11" ht="12">
      <c r="A390" s="51"/>
      <c r="B390" s="1" t="e">
        <f>'SC4 MF- TDHCA'!#REF!</f>
        <v>#REF!</v>
      </c>
      <c r="C390" s="50"/>
      <c r="D390" s="56"/>
      <c r="J390" s="72"/>
      <c r="K390" s="56"/>
    </row>
    <row r="391" spans="1:11" ht="12">
      <c r="A391" s="51">
        <v>9</v>
      </c>
      <c r="B391" s="1" t="e">
        <f>'SC4 MF- TDHCA'!#REF!</f>
        <v>#REF!</v>
      </c>
      <c r="C391" s="50" t="s">
        <v>156</v>
      </c>
      <c r="D391" s="56">
        <v>12700000</v>
      </c>
      <c r="J391" s="72"/>
      <c r="K391" s="56"/>
    </row>
    <row r="392" spans="1:11" ht="12">
      <c r="A392" s="51"/>
      <c r="B392" s="1" t="e">
        <f>'SC4 MF- TDHCA'!#REF!</f>
        <v>#REF!</v>
      </c>
      <c r="C392" s="50" t="s">
        <v>186</v>
      </c>
      <c r="D392" s="56"/>
      <c r="J392" s="72"/>
      <c r="K392" s="56"/>
    </row>
    <row r="393" spans="1:11" ht="12">
      <c r="A393" s="51"/>
      <c r="B393" s="1" t="e">
        <f>'SC4 MF- TDHCA'!#REF!</f>
        <v>#REF!</v>
      </c>
      <c r="C393" s="50" t="s">
        <v>232</v>
      </c>
      <c r="D393" s="56"/>
      <c r="J393" s="72"/>
      <c r="K393" s="56"/>
    </row>
    <row r="394" spans="1:11" ht="12">
      <c r="A394" s="51"/>
      <c r="B394" s="1" t="e">
        <f>'SC4 MF- TDHCA'!#REF!</f>
        <v>#REF!</v>
      </c>
      <c r="C394" s="50"/>
      <c r="D394" s="56"/>
      <c r="J394" s="72"/>
      <c r="K394" s="56"/>
    </row>
    <row r="395" spans="1:11" ht="12">
      <c r="A395" s="51">
        <v>10</v>
      </c>
      <c r="B395" s="1" t="e">
        <f>'SC4 MF- TDHCA'!#REF!</f>
        <v>#REF!</v>
      </c>
      <c r="C395" s="50" t="s">
        <v>250</v>
      </c>
      <c r="D395" s="56">
        <v>15000000</v>
      </c>
      <c r="J395" s="72"/>
      <c r="K395" s="56"/>
    </row>
    <row r="396" spans="1:11" ht="12">
      <c r="A396" s="51"/>
      <c r="B396" s="1" t="e">
        <f>'SC4 MF- TDHCA'!#REF!</f>
        <v>#REF!</v>
      </c>
      <c r="C396" s="50" t="s">
        <v>216</v>
      </c>
      <c r="D396" s="56"/>
      <c r="J396" s="72"/>
      <c r="K396" s="56"/>
    </row>
    <row r="397" spans="1:11" ht="12">
      <c r="A397" s="51"/>
      <c r="B397" s="1" t="e">
        <f>'SC4 MF- TDHCA'!#REF!</f>
        <v>#REF!</v>
      </c>
      <c r="C397" s="50" t="s">
        <v>211</v>
      </c>
      <c r="D397" s="56"/>
      <c r="J397" s="72"/>
      <c r="K397" s="56"/>
    </row>
    <row r="398" spans="1:11" ht="12">
      <c r="A398" s="51"/>
      <c r="B398" s="1" t="e">
        <f>'SC4 MF- TDHCA'!#REF!</f>
        <v>#REF!</v>
      </c>
      <c r="C398" s="50"/>
      <c r="D398" s="56"/>
      <c r="J398" s="72"/>
      <c r="K398" s="56"/>
    </row>
    <row r="399" spans="1:11" ht="12">
      <c r="A399" s="51">
        <v>13</v>
      </c>
      <c r="B399" s="1" t="e">
        <f>'SC4 MF- TDHCA'!#REF!</f>
        <v>#REF!</v>
      </c>
      <c r="C399" s="50" t="s">
        <v>156</v>
      </c>
      <c r="D399" s="56">
        <v>7500000</v>
      </c>
      <c r="J399" s="72"/>
      <c r="K399" s="56"/>
    </row>
    <row r="400" spans="1:11" ht="12">
      <c r="A400" s="51"/>
      <c r="B400" s="1" t="e">
        <f>'SC4 MF- TDHCA'!#REF!</f>
        <v>#REF!</v>
      </c>
      <c r="C400" s="50" t="s">
        <v>10</v>
      </c>
      <c r="D400" s="56"/>
      <c r="J400" s="72"/>
      <c r="K400" s="56"/>
    </row>
    <row r="401" spans="1:11" ht="12">
      <c r="A401" s="51"/>
      <c r="B401" s="1" t="e">
        <f>'SC4 MF- TDHCA'!#REF!</f>
        <v>#REF!</v>
      </c>
      <c r="C401" s="50" t="s">
        <v>182</v>
      </c>
      <c r="D401" s="56"/>
      <c r="J401" s="72"/>
      <c r="K401" s="56"/>
    </row>
    <row r="402" spans="1:11" ht="12">
      <c r="A402" s="51"/>
      <c r="B402" s="1" t="e">
        <f>'SC4 MF- TDHCA'!#REF!</f>
        <v>#REF!</v>
      </c>
      <c r="C402" s="50"/>
      <c r="D402" s="56"/>
      <c r="J402" s="72"/>
      <c r="K402" s="56"/>
    </row>
    <row r="403" spans="1:11" ht="12">
      <c r="A403" s="51">
        <v>18</v>
      </c>
      <c r="B403" s="1" t="e">
        <f>'SC4 MF- TDHCA'!#REF!</f>
        <v>#REF!</v>
      </c>
      <c r="C403" s="50" t="s">
        <v>156</v>
      </c>
      <c r="D403" s="56">
        <v>12700000</v>
      </c>
      <c r="J403" s="72"/>
      <c r="K403" s="56"/>
    </row>
    <row r="404" spans="1:11" ht="12">
      <c r="A404" s="51"/>
      <c r="B404" s="1" t="e">
        <f>'SC4 MF- TDHCA'!#REF!</f>
        <v>#REF!</v>
      </c>
      <c r="C404" s="50" t="s">
        <v>62</v>
      </c>
      <c r="D404" s="56"/>
      <c r="J404" s="72"/>
      <c r="K404" s="56"/>
    </row>
    <row r="405" spans="1:11" ht="12">
      <c r="A405" s="51"/>
      <c r="B405" s="1" t="e">
        <f>'SC4 MF- TDHCA'!#REF!</f>
        <v>#REF!</v>
      </c>
      <c r="C405" s="50" t="s">
        <v>232</v>
      </c>
      <c r="D405" s="56"/>
      <c r="J405" s="72"/>
      <c r="K405" s="56"/>
    </row>
    <row r="406" spans="1:11" ht="12">
      <c r="A406" s="21"/>
      <c r="B406" s="1" t="e">
        <f>'SC4 MF- TDHCA'!#REF!</f>
        <v>#REF!</v>
      </c>
      <c r="C406" s="50"/>
      <c r="D406" s="56"/>
      <c r="J406" s="72"/>
      <c r="K406" s="56"/>
    </row>
    <row r="407" spans="1:11" ht="12">
      <c r="A407" s="51">
        <v>24</v>
      </c>
      <c r="B407" s="1" t="e">
        <f>'SC4 MF- TDHCA'!#REF!</f>
        <v>#REF!</v>
      </c>
      <c r="C407" s="50" t="s">
        <v>156</v>
      </c>
      <c r="D407" s="56">
        <v>10900000</v>
      </c>
      <c r="J407" s="72"/>
      <c r="K407" s="56"/>
    </row>
    <row r="408" spans="1:11" ht="12">
      <c r="A408" s="51"/>
      <c r="B408" s="1" t="e">
        <f>'SC4 MF- TDHCA'!#REF!</f>
        <v>#REF!</v>
      </c>
      <c r="C408" s="50" t="s">
        <v>145</v>
      </c>
      <c r="D408" s="56"/>
      <c r="J408" s="72"/>
      <c r="K408" s="56"/>
    </row>
    <row r="409" spans="1:11" ht="12">
      <c r="A409" s="51"/>
      <c r="B409" s="1" t="e">
        <f>'SC4 MF- TDHCA'!#REF!</f>
        <v>#REF!</v>
      </c>
      <c r="C409" s="50" t="s">
        <v>280</v>
      </c>
      <c r="D409" s="56"/>
      <c r="J409" s="72"/>
      <c r="K409" s="56"/>
    </row>
    <row r="410" spans="1:11" ht="12">
      <c r="A410" s="51"/>
      <c r="B410" s="1" t="e">
        <f>'SC4 MF- TDHCA'!#REF!</f>
        <v>#REF!</v>
      </c>
      <c r="C410" s="50"/>
      <c r="D410" s="56"/>
      <c r="J410" s="72"/>
      <c r="K410" s="56"/>
    </row>
    <row r="411" spans="1:11" ht="12">
      <c r="A411" s="51">
        <v>28</v>
      </c>
      <c r="B411" s="1" t="e">
        <f>'SC4 MF- TDHCA'!#REF!</f>
        <v>#REF!</v>
      </c>
      <c r="C411" s="50" t="s">
        <v>156</v>
      </c>
      <c r="D411" s="56">
        <v>12500000</v>
      </c>
      <c r="J411" s="72"/>
      <c r="K411" s="56"/>
    </row>
    <row r="412" spans="1:11" ht="12">
      <c r="A412" s="51"/>
      <c r="B412" s="1" t="e">
        <f>'SC4 MF- TDHCA'!#REF!</f>
        <v>#REF!</v>
      </c>
      <c r="C412" s="50" t="s">
        <v>93</v>
      </c>
      <c r="D412" s="56"/>
      <c r="J412" s="72"/>
      <c r="K412" s="56"/>
    </row>
    <row r="413" spans="1:11" ht="12">
      <c r="A413" s="51"/>
      <c r="B413" s="1" t="e">
        <f>'SC4 MF- TDHCA'!#REF!</f>
        <v>#REF!</v>
      </c>
      <c r="C413" s="50" t="s">
        <v>183</v>
      </c>
      <c r="D413" s="56"/>
      <c r="J413" s="72"/>
      <c r="K413" s="56"/>
    </row>
    <row r="414" spans="1:11" ht="12">
      <c r="A414" s="51"/>
      <c r="B414" s="1" t="e">
        <f>'SC4 MF- TDHCA'!#REF!</f>
        <v>#REF!</v>
      </c>
      <c r="C414" s="50"/>
      <c r="D414" s="56"/>
      <c r="J414" s="72"/>
      <c r="K414" s="56"/>
    </row>
    <row r="415" spans="1:11" ht="12">
      <c r="A415" s="51">
        <v>42</v>
      </c>
      <c r="B415" s="1" t="e">
        <f>'SC4 MF- TDHCA'!#REF!</f>
        <v>#REF!</v>
      </c>
      <c r="C415" s="50" t="s">
        <v>156</v>
      </c>
      <c r="D415" s="56">
        <v>11950000</v>
      </c>
      <c r="J415" s="72"/>
      <c r="K415" s="56"/>
    </row>
    <row r="416" spans="1:11" ht="12">
      <c r="A416" s="51"/>
      <c r="B416" s="1" t="e">
        <f>'SC4 MF- TDHCA'!#REF!</f>
        <v>#REF!</v>
      </c>
      <c r="C416" s="50" t="s">
        <v>53</v>
      </c>
      <c r="D416" s="56"/>
      <c r="J416" s="72"/>
      <c r="K416" s="56"/>
    </row>
    <row r="417" spans="1:12" ht="12">
      <c r="A417" s="51"/>
      <c r="B417" s="1" t="e">
        <f>'SC4 MF- TDHCA'!#REF!</f>
        <v>#REF!</v>
      </c>
      <c r="C417" s="50" t="s">
        <v>232</v>
      </c>
      <c r="D417" s="56"/>
      <c r="J417" s="72"/>
      <c r="K417" s="56"/>
    </row>
    <row r="418" spans="1:12" ht="12">
      <c r="A418" s="51"/>
      <c r="B418" s="1" t="e">
        <f>'SC4 MF- TDHCA'!#REF!</f>
        <v>#REF!</v>
      </c>
      <c r="C418" s="50"/>
      <c r="D418" s="56"/>
      <c r="J418" s="72"/>
      <c r="K418" s="56"/>
    </row>
    <row r="419" spans="1:12" ht="12">
      <c r="A419" s="51">
        <v>54</v>
      </c>
      <c r="B419" s="1" t="e">
        <f>'SC4 MF- TDHCA'!#REF!</f>
        <v>#REF!</v>
      </c>
      <c r="C419" s="50" t="s">
        <v>250</v>
      </c>
      <c r="D419" s="56">
        <v>9300000</v>
      </c>
      <c r="J419" s="72"/>
      <c r="K419" s="56"/>
    </row>
    <row r="420" spans="1:12" ht="12">
      <c r="A420" s="51"/>
      <c r="B420" s="1" t="e">
        <f>'SC4 MF- TDHCA'!#REF!</f>
        <v>#REF!</v>
      </c>
      <c r="C420" s="50" t="s">
        <v>15</v>
      </c>
      <c r="D420" s="56"/>
      <c r="J420" s="72"/>
      <c r="K420" s="56"/>
    </row>
    <row r="421" spans="1:12" ht="12">
      <c r="A421" s="51"/>
      <c r="B421" s="1" t="e">
        <f>'SC4 MF- TDHCA'!#REF!</f>
        <v>#REF!</v>
      </c>
      <c r="C421" s="50" t="s">
        <v>130</v>
      </c>
      <c r="D421" s="56"/>
      <c r="J421" s="72"/>
      <c r="K421" s="56"/>
    </row>
    <row r="422" spans="1:12" ht="12">
      <c r="A422" s="51"/>
      <c r="B422" s="1" t="e">
        <f>'SC4 MF- TDHCA'!#REF!</f>
        <v>#REF!</v>
      </c>
      <c r="C422" s="50"/>
      <c r="D422" s="56"/>
      <c r="J422" s="72"/>
      <c r="K422" s="56"/>
    </row>
    <row r="423" spans="1:12" ht="12">
      <c r="A423" s="51">
        <v>57</v>
      </c>
      <c r="B423" s="1" t="e">
        <f>'SC4 MF- TDHCA'!#REF!</f>
        <v>#REF!</v>
      </c>
      <c r="C423" s="50" t="s">
        <v>156</v>
      </c>
      <c r="D423" s="56">
        <v>11200000</v>
      </c>
      <c r="J423" s="72"/>
      <c r="K423" s="56"/>
    </row>
    <row r="424" spans="1:12" s="26" customFormat="1" ht="12">
      <c r="A424" s="21"/>
      <c r="B424" s="1" t="e">
        <f>'SC4 MF- TDHCA'!#REF!</f>
        <v>#REF!</v>
      </c>
      <c r="C424" s="50" t="s">
        <v>17</v>
      </c>
      <c r="D424" s="56"/>
      <c r="E424" s="71"/>
      <c r="F424" s="24"/>
      <c r="G424" s="24"/>
      <c r="H424" s="71"/>
      <c r="I424" s="23"/>
      <c r="J424" s="72"/>
      <c r="K424" s="56"/>
      <c r="L424" s="24"/>
    </row>
    <row r="425" spans="1:12" s="26" customFormat="1" ht="12">
      <c r="A425" s="21"/>
      <c r="B425" s="1" t="e">
        <f>'SC4 MF- TDHCA'!#REF!</f>
        <v>#REF!</v>
      </c>
      <c r="C425" s="50" t="s">
        <v>232</v>
      </c>
      <c r="D425" s="56"/>
      <c r="E425" s="71"/>
      <c r="F425" s="24"/>
      <c r="G425" s="24"/>
      <c r="H425" s="71"/>
      <c r="I425" s="23"/>
      <c r="J425" s="72"/>
      <c r="K425" s="56"/>
      <c r="L425" s="24"/>
    </row>
    <row r="426" spans="1:12" s="26" customFormat="1" ht="12">
      <c r="A426" s="21"/>
      <c r="B426" s="1" t="e">
        <f>'SC4 MF- TDHCA'!#REF!</f>
        <v>#REF!</v>
      </c>
      <c r="C426" s="50"/>
      <c r="D426" s="56"/>
      <c r="E426" s="71"/>
      <c r="F426" s="24"/>
      <c r="G426" s="24"/>
      <c r="H426" s="71"/>
      <c r="I426" s="23"/>
      <c r="J426" s="72"/>
      <c r="K426" s="56"/>
      <c r="L426" s="24"/>
    </row>
    <row r="427" spans="1:12" s="26" customFormat="1" ht="12">
      <c r="A427" s="51">
        <v>65</v>
      </c>
      <c r="B427" s="1" t="e">
        <f>'SC4 MF- TDHCA'!#REF!</f>
        <v>#REF!</v>
      </c>
      <c r="C427" s="50" t="s">
        <v>156</v>
      </c>
      <c r="D427" s="56">
        <v>15000000</v>
      </c>
      <c r="E427" s="71"/>
      <c r="F427" s="24"/>
      <c r="G427" s="24"/>
      <c r="H427" s="71"/>
      <c r="I427" s="23"/>
      <c r="J427" s="72"/>
      <c r="K427" s="56"/>
      <c r="L427" s="24"/>
    </row>
    <row r="428" spans="1:12" s="26" customFormat="1" ht="12">
      <c r="A428" s="51"/>
      <c r="B428" s="1" t="e">
        <f>'SC4 MF- TDHCA'!#REF!</f>
        <v>#REF!</v>
      </c>
      <c r="C428" s="50" t="s">
        <v>132</v>
      </c>
      <c r="D428" s="56"/>
      <c r="E428" s="71"/>
      <c r="F428" s="24"/>
      <c r="G428" s="24"/>
      <c r="H428" s="71"/>
      <c r="I428" s="23"/>
      <c r="J428" s="72"/>
      <c r="K428" s="56"/>
      <c r="L428" s="24"/>
    </row>
    <row r="429" spans="1:12" s="26" customFormat="1" ht="12">
      <c r="A429" s="51"/>
      <c r="B429" s="1" t="e">
        <f>'SC4 MF- TDHCA'!#REF!</f>
        <v>#REF!</v>
      </c>
      <c r="C429" s="50" t="s">
        <v>118</v>
      </c>
      <c r="D429" s="56"/>
      <c r="E429" s="71"/>
      <c r="F429" s="24"/>
      <c r="G429" s="24"/>
      <c r="H429" s="71"/>
      <c r="I429" s="23"/>
      <c r="J429" s="72"/>
      <c r="K429" s="56"/>
      <c r="L429" s="24"/>
    </row>
    <row r="430" spans="1:12" s="26" customFormat="1" ht="12">
      <c r="A430" s="51"/>
      <c r="B430" s="1" t="e">
        <f>'SC4 MF- TDHCA'!#REF!</f>
        <v>#REF!</v>
      </c>
      <c r="C430" s="50"/>
      <c r="D430" s="56"/>
      <c r="E430" s="71"/>
      <c r="F430" s="24"/>
      <c r="G430" s="24"/>
      <c r="H430" s="71"/>
      <c r="I430" s="23"/>
      <c r="J430" s="72"/>
      <c r="K430" s="56"/>
      <c r="L430" s="24"/>
    </row>
    <row r="431" spans="1:12" s="26" customFormat="1" ht="12">
      <c r="A431" s="51">
        <v>76</v>
      </c>
      <c r="B431" s="1" t="e">
        <f>'SC4 MF- TDHCA'!#REF!</f>
        <v>#REF!</v>
      </c>
      <c r="C431" s="50" t="s">
        <v>156</v>
      </c>
      <c r="D431" s="56">
        <v>15000000</v>
      </c>
      <c r="E431" s="71"/>
      <c r="F431" s="24"/>
      <c r="G431" s="24"/>
      <c r="H431" s="71"/>
      <c r="I431" s="23"/>
      <c r="J431" s="72"/>
      <c r="K431" s="56"/>
      <c r="L431" s="24"/>
    </row>
    <row r="432" spans="1:12" s="26" customFormat="1" ht="12">
      <c r="A432" s="51"/>
      <c r="B432" s="1" t="e">
        <f>'SC4 MF- TDHCA'!#REF!</f>
        <v>#REF!</v>
      </c>
      <c r="C432" s="50" t="s">
        <v>133</v>
      </c>
      <c r="D432" s="56"/>
      <c r="E432" s="71"/>
      <c r="F432" s="24"/>
      <c r="G432" s="24"/>
      <c r="H432" s="71"/>
      <c r="I432" s="23"/>
      <c r="J432" s="72"/>
      <c r="K432" s="56"/>
      <c r="L432" s="24"/>
    </row>
    <row r="433" spans="1:12" s="26" customFormat="1" ht="12">
      <c r="A433" s="51"/>
      <c r="B433" s="1" t="e">
        <f>'SC4 MF- TDHCA'!#REF!</f>
        <v>#REF!</v>
      </c>
      <c r="C433" s="50" t="s">
        <v>4</v>
      </c>
      <c r="D433" s="56"/>
      <c r="E433" s="71"/>
      <c r="F433" s="24"/>
      <c r="G433" s="24"/>
      <c r="H433" s="71"/>
      <c r="I433" s="23"/>
      <c r="J433" s="72"/>
      <c r="K433" s="56"/>
      <c r="L433" s="24"/>
    </row>
    <row r="434" spans="1:12" s="26" customFormat="1" ht="12">
      <c r="A434" s="51"/>
      <c r="B434" s="1" t="e">
        <f>'SC4 MF- TDHCA'!#REF!</f>
        <v>#REF!</v>
      </c>
      <c r="C434" s="50"/>
      <c r="D434" s="56"/>
      <c r="E434" s="71"/>
      <c r="F434" s="24"/>
      <c r="G434" s="24"/>
      <c r="H434" s="71"/>
      <c r="I434" s="23"/>
      <c r="J434" s="72"/>
      <c r="K434" s="56"/>
      <c r="L434" s="24"/>
    </row>
    <row r="435" spans="1:12" s="26" customFormat="1" ht="12">
      <c r="A435" s="51">
        <v>78</v>
      </c>
      <c r="B435" s="1" t="e">
        <f>'SC4 MF- TDHCA'!#REF!</f>
        <v>#REF!</v>
      </c>
      <c r="C435" s="50" t="s">
        <v>156</v>
      </c>
      <c r="D435" s="56">
        <v>13500000</v>
      </c>
      <c r="E435" s="71"/>
      <c r="F435" s="24"/>
      <c r="G435" s="24"/>
      <c r="H435" s="71"/>
      <c r="I435" s="23"/>
      <c r="J435" s="72"/>
      <c r="K435" s="56"/>
      <c r="L435" s="24"/>
    </row>
    <row r="436" spans="1:12" s="26" customFormat="1" ht="12">
      <c r="A436" s="51"/>
      <c r="B436" s="26" t="e">
        <f>'SC4 MF- TDHCA'!#REF!</f>
        <v>#REF!</v>
      </c>
      <c r="C436" s="50" t="s">
        <v>31</v>
      </c>
      <c r="D436" s="56"/>
      <c r="E436" s="71"/>
      <c r="F436" s="24"/>
      <c r="G436" s="24"/>
      <c r="H436" s="71"/>
      <c r="I436" s="23"/>
      <c r="J436" s="72"/>
      <c r="K436" s="56"/>
      <c r="L436" s="24"/>
    </row>
    <row r="437" spans="1:12" s="26" customFormat="1" ht="12">
      <c r="A437" s="51"/>
      <c r="B437" s="26" t="e">
        <f>'SC4 MF- TDHCA'!#REF!</f>
        <v>#REF!</v>
      </c>
      <c r="C437" s="50" t="s">
        <v>232</v>
      </c>
      <c r="D437" s="56"/>
      <c r="E437" s="71"/>
      <c r="F437" s="24"/>
      <c r="G437" s="24"/>
      <c r="H437" s="71"/>
      <c r="I437" s="23"/>
      <c r="J437" s="72"/>
      <c r="K437" s="56"/>
      <c r="L437" s="24"/>
    </row>
    <row r="438" spans="1:12" s="26" customFormat="1" ht="12">
      <c r="A438" s="51"/>
      <c r="B438" s="26" t="e">
        <f>'SC4 MF- TDHCA'!#REF!</f>
        <v>#REF!</v>
      </c>
      <c r="C438" s="50"/>
      <c r="D438" s="56"/>
      <c r="E438" s="71"/>
      <c r="F438" s="24"/>
      <c r="G438" s="24"/>
      <c r="H438" s="71"/>
      <c r="I438" s="23"/>
      <c r="J438" s="72"/>
      <c r="K438" s="56"/>
      <c r="L438" s="24"/>
    </row>
    <row r="439" spans="1:12" s="26" customFormat="1" ht="12">
      <c r="A439" s="51">
        <v>87</v>
      </c>
      <c r="B439" s="1" t="e">
        <f>'SC4 MF- TDHCA'!#REF!</f>
        <v>#REF!</v>
      </c>
      <c r="C439" s="50" t="s">
        <v>64</v>
      </c>
      <c r="D439" s="56">
        <v>15000000</v>
      </c>
      <c r="E439" s="71"/>
      <c r="F439" s="24"/>
      <c r="G439" s="24"/>
      <c r="H439" s="71"/>
      <c r="I439" s="23"/>
      <c r="J439" s="72"/>
      <c r="K439" s="56"/>
      <c r="L439" s="24"/>
    </row>
    <row r="440" spans="1:12" s="26" customFormat="1" ht="12">
      <c r="A440" s="51"/>
      <c r="B440" s="1" t="e">
        <f>'SC4 MF- TDHCA'!#REF!</f>
        <v>#REF!</v>
      </c>
      <c r="C440" s="50" t="s">
        <v>106</v>
      </c>
      <c r="D440" s="56"/>
      <c r="E440" s="71"/>
      <c r="F440" s="24"/>
      <c r="G440" s="24"/>
      <c r="H440" s="71"/>
      <c r="I440" s="23"/>
      <c r="J440" s="72"/>
      <c r="K440" s="56"/>
      <c r="L440" s="24"/>
    </row>
    <row r="441" spans="1:12" s="26" customFormat="1" ht="12">
      <c r="A441" s="51"/>
      <c r="B441" s="1" t="e">
        <f>'SC4 MF- TDHCA'!#REF!</f>
        <v>#REF!</v>
      </c>
      <c r="C441" s="50" t="s">
        <v>283</v>
      </c>
      <c r="D441" s="56"/>
      <c r="E441" s="71"/>
      <c r="F441" s="24"/>
      <c r="G441" s="24"/>
      <c r="H441" s="71"/>
      <c r="I441" s="23"/>
      <c r="J441" s="72"/>
      <c r="K441" s="56"/>
      <c r="L441" s="24"/>
    </row>
    <row r="442" spans="1:12" s="26" customFormat="1" ht="12">
      <c r="A442" s="51"/>
      <c r="B442" s="1" t="e">
        <f>'SC4 MF- TDHCA'!#REF!</f>
        <v>#REF!</v>
      </c>
      <c r="C442" s="50"/>
      <c r="D442" s="56"/>
      <c r="E442" s="71"/>
      <c r="F442" s="24"/>
      <c r="G442" s="24"/>
      <c r="H442" s="71"/>
      <c r="I442" s="23"/>
      <c r="J442" s="72"/>
      <c r="K442" s="56"/>
      <c r="L442" s="24"/>
    </row>
    <row r="443" spans="1:12" s="26" customFormat="1" ht="12">
      <c r="A443" s="51">
        <v>93</v>
      </c>
      <c r="B443" s="1" t="e">
        <f>'SC4 MF- TDHCA'!#REF!</f>
        <v>#REF!</v>
      </c>
      <c r="C443" s="50" t="s">
        <v>156</v>
      </c>
      <c r="D443" s="56">
        <v>12000000</v>
      </c>
      <c r="E443" s="71"/>
      <c r="F443" s="24"/>
      <c r="G443" s="24"/>
      <c r="H443" s="71"/>
      <c r="I443" s="23"/>
      <c r="J443" s="72"/>
      <c r="K443" s="56"/>
      <c r="L443" s="24"/>
    </row>
    <row r="444" spans="1:12" s="26" customFormat="1" ht="12">
      <c r="A444" s="51"/>
      <c r="B444" s="26" t="e">
        <f>'SC4 MF- TDHCA'!#REF!</f>
        <v>#REF!</v>
      </c>
      <c r="C444" s="50" t="s">
        <v>83</v>
      </c>
      <c r="D444" s="56"/>
      <c r="E444" s="71"/>
      <c r="F444" s="24"/>
      <c r="G444" s="24"/>
      <c r="H444" s="71"/>
      <c r="I444" s="23"/>
      <c r="J444" s="72"/>
      <c r="K444" s="56"/>
      <c r="L444" s="24"/>
    </row>
    <row r="445" spans="1:12" s="26" customFormat="1" ht="12">
      <c r="A445" s="51"/>
      <c r="B445" s="26" t="e">
        <f>'SC4 MF- TDHCA'!#REF!</f>
        <v>#REF!</v>
      </c>
      <c r="C445" s="50" t="s">
        <v>4</v>
      </c>
      <c r="D445" s="56"/>
      <c r="E445" s="71"/>
      <c r="F445" s="24"/>
      <c r="G445" s="24"/>
      <c r="H445" s="71"/>
      <c r="I445" s="23"/>
      <c r="J445" s="72"/>
      <c r="K445" s="56"/>
      <c r="L445" s="24"/>
    </row>
    <row r="446" spans="1:12" ht="12">
      <c r="A446" s="21"/>
      <c r="B446" s="1" t="e">
        <f>'SC4 MF- TDHCA'!#REF!</f>
        <v>#REF!</v>
      </c>
      <c r="C446" s="50"/>
      <c r="D446" s="56"/>
      <c r="J446" s="72"/>
      <c r="K446" s="56"/>
    </row>
    <row r="447" spans="1:12" s="26" customFormat="1" ht="12">
      <c r="A447" s="51">
        <v>95</v>
      </c>
      <c r="B447" s="1" t="e">
        <f>'SC4 MF- TDHCA'!#REF!</f>
        <v>#REF!</v>
      </c>
      <c r="C447" s="50" t="s">
        <v>156</v>
      </c>
      <c r="D447" s="56">
        <v>13500000</v>
      </c>
      <c r="E447" s="71"/>
      <c r="F447" s="24"/>
      <c r="G447" s="24"/>
      <c r="H447" s="71"/>
      <c r="I447" s="23"/>
      <c r="J447" s="72"/>
      <c r="K447" s="56"/>
      <c r="L447" s="24"/>
    </row>
    <row r="448" spans="1:12" s="26" customFormat="1" ht="12">
      <c r="A448" s="51"/>
      <c r="B448" s="20" t="e">
        <f>'SC4 MF- TDHCA'!#REF!</f>
        <v>#REF!</v>
      </c>
      <c r="C448" s="50" t="s">
        <v>63</v>
      </c>
      <c r="D448" s="56"/>
      <c r="E448" s="71"/>
      <c r="F448" s="24"/>
      <c r="G448" s="24"/>
      <c r="H448" s="71"/>
      <c r="I448" s="23"/>
      <c r="J448" s="72"/>
      <c r="K448" s="56"/>
      <c r="L448" s="24"/>
    </row>
    <row r="449" spans="1:12" s="26" customFormat="1" ht="12">
      <c r="A449" s="51"/>
      <c r="B449" s="20" t="e">
        <f>'SC4 MF- TDHCA'!#REF!</f>
        <v>#REF!</v>
      </c>
      <c r="C449" s="50" t="s">
        <v>232</v>
      </c>
      <c r="D449" s="56"/>
      <c r="E449" s="71"/>
      <c r="F449" s="24"/>
      <c r="G449" s="24"/>
      <c r="H449" s="71"/>
      <c r="I449" s="23"/>
      <c r="J449" s="72"/>
      <c r="K449" s="56"/>
      <c r="L449" s="24"/>
    </row>
    <row r="450" spans="1:12" s="26" customFormat="1" ht="12">
      <c r="A450" s="51"/>
      <c r="B450" s="20" t="e">
        <f>'SC4 MF- TDHCA'!#REF!</f>
        <v>#REF!</v>
      </c>
      <c r="C450" s="50"/>
      <c r="D450" s="56"/>
      <c r="E450" s="71"/>
      <c r="F450" s="24"/>
      <c r="G450" s="24"/>
      <c r="H450" s="71"/>
      <c r="I450" s="23"/>
      <c r="J450" s="72"/>
      <c r="K450" s="56"/>
      <c r="L450" s="24"/>
    </row>
    <row r="451" spans="1:12" s="26" customFormat="1" ht="12">
      <c r="A451" s="51">
        <v>97</v>
      </c>
      <c r="B451" s="1" t="e">
        <f>'SC4 MF- TDHCA'!#REF!</f>
        <v>#REF!</v>
      </c>
      <c r="C451" s="50" t="s">
        <v>156</v>
      </c>
      <c r="D451" s="56">
        <v>13531000</v>
      </c>
      <c r="E451" s="71"/>
      <c r="F451" s="24"/>
      <c r="G451" s="24"/>
      <c r="H451" s="71"/>
      <c r="I451" s="23"/>
      <c r="J451" s="72"/>
      <c r="K451" s="56"/>
      <c r="L451" s="24"/>
    </row>
    <row r="452" spans="1:12" s="26" customFormat="1" ht="12">
      <c r="A452" s="51"/>
      <c r="B452" s="20" t="e">
        <f>'SC4 MF- TDHCA'!#REF!</f>
        <v>#REF!</v>
      </c>
      <c r="C452" s="50" t="s">
        <v>120</v>
      </c>
      <c r="D452" s="56"/>
      <c r="E452" s="71"/>
      <c r="F452" s="24"/>
      <c r="G452" s="24"/>
      <c r="H452" s="71"/>
      <c r="I452" s="23"/>
      <c r="J452" s="72"/>
      <c r="K452" s="56"/>
      <c r="L452" s="24"/>
    </row>
    <row r="453" spans="1:12" s="26" customFormat="1" ht="12">
      <c r="A453" s="51"/>
      <c r="B453" s="20" t="e">
        <f>'SC4 MF- TDHCA'!#REF!</f>
        <v>#REF!</v>
      </c>
      <c r="C453" s="50" t="s">
        <v>273</v>
      </c>
      <c r="D453" s="56"/>
      <c r="E453" s="71"/>
      <c r="F453" s="24"/>
      <c r="G453" s="24"/>
      <c r="H453" s="71"/>
      <c r="I453" s="23"/>
      <c r="J453" s="72"/>
      <c r="K453" s="56"/>
      <c r="L453" s="24"/>
    </row>
    <row r="454" spans="1:12" s="26" customFormat="1" ht="12">
      <c r="A454" s="51"/>
      <c r="B454" s="20" t="e">
        <f>'SC4 MF- TDHCA'!#REF!</f>
        <v>#REF!</v>
      </c>
      <c r="C454" s="50"/>
      <c r="D454" s="56"/>
      <c r="E454" s="71"/>
      <c r="F454" s="24"/>
      <c r="G454" s="24"/>
      <c r="H454" s="71"/>
      <c r="I454" s="23"/>
      <c r="J454" s="72"/>
      <c r="K454" s="56"/>
      <c r="L454" s="24"/>
    </row>
    <row r="455" spans="1:12" s="26" customFormat="1" ht="12">
      <c r="A455" s="51">
        <v>98</v>
      </c>
      <c r="B455" s="1" t="e">
        <f>'SC4 MF- TDHCA'!#REF!</f>
        <v>#REF!</v>
      </c>
      <c r="C455" s="50" t="s">
        <v>156</v>
      </c>
      <c r="D455" s="56">
        <v>13500000</v>
      </c>
      <c r="E455" s="71"/>
      <c r="F455" s="24"/>
      <c r="G455" s="24"/>
      <c r="H455" s="71"/>
      <c r="I455" s="23"/>
      <c r="J455" s="72"/>
      <c r="K455" s="56"/>
      <c r="L455" s="24"/>
    </row>
    <row r="456" spans="1:12" s="26" customFormat="1" ht="12">
      <c r="A456" s="51"/>
      <c r="B456" s="20" t="e">
        <f>'SC4 MF- TDHCA'!#REF!</f>
        <v>#REF!</v>
      </c>
      <c r="C456" s="50" t="s">
        <v>253</v>
      </c>
      <c r="D456" s="56"/>
      <c r="E456" s="71"/>
      <c r="F456" s="24"/>
      <c r="G456" s="24"/>
      <c r="H456" s="71"/>
      <c r="I456" s="23"/>
      <c r="J456" s="72"/>
      <c r="K456" s="56"/>
      <c r="L456" s="24"/>
    </row>
    <row r="457" spans="1:12" s="26" customFormat="1" ht="12">
      <c r="A457" s="51"/>
      <c r="B457" s="20" t="e">
        <f>'SC4 MF- TDHCA'!#REF!</f>
        <v>#REF!</v>
      </c>
      <c r="C457" s="50" t="s">
        <v>232</v>
      </c>
      <c r="D457" s="56"/>
      <c r="E457" s="71"/>
      <c r="F457" s="24"/>
      <c r="G457" s="24"/>
      <c r="H457" s="71"/>
      <c r="I457" s="23"/>
      <c r="J457" s="72"/>
      <c r="K457" s="56"/>
      <c r="L457" s="24"/>
    </row>
    <row r="458" spans="1:12" s="26" customFormat="1" ht="12">
      <c r="A458" s="51"/>
      <c r="B458" s="20" t="e">
        <f>'SC4 MF- TDHCA'!#REF!</f>
        <v>#REF!</v>
      </c>
      <c r="C458" s="50"/>
      <c r="D458" s="56"/>
      <c r="E458" s="71"/>
      <c r="F458" s="24"/>
      <c r="G458" s="24"/>
      <c r="H458" s="71"/>
      <c r="I458" s="23"/>
      <c r="J458" s="72"/>
      <c r="K458" s="56"/>
      <c r="L458" s="24"/>
    </row>
    <row r="459" spans="1:12" ht="12">
      <c r="A459" s="51">
        <v>102</v>
      </c>
      <c r="B459" s="1" t="e">
        <f>'SC4 MF- TDHCA'!#REF!</f>
        <v>#REF!</v>
      </c>
      <c r="C459" s="50" t="s">
        <v>156</v>
      </c>
      <c r="D459" s="56">
        <v>4800000</v>
      </c>
      <c r="J459" s="72"/>
      <c r="K459" s="56"/>
    </row>
    <row r="460" spans="1:12" ht="12">
      <c r="A460" s="51"/>
      <c r="B460" s="1" t="e">
        <f>'SC4 MF- TDHCA'!#REF!</f>
        <v>#REF!</v>
      </c>
      <c r="C460" s="50" t="s">
        <v>45</v>
      </c>
      <c r="D460" s="56"/>
      <c r="J460" s="72"/>
      <c r="K460" s="56"/>
    </row>
    <row r="461" spans="1:12" ht="12">
      <c r="A461" s="51"/>
      <c r="B461" s="1" t="e">
        <f>'SC4 MF- TDHCA'!#REF!</f>
        <v>#REF!</v>
      </c>
      <c r="C461" s="50" t="s">
        <v>274</v>
      </c>
      <c r="D461" s="56"/>
      <c r="J461" s="72"/>
      <c r="K461" s="56"/>
    </row>
    <row r="462" spans="1:12" ht="12">
      <c r="A462" s="51"/>
      <c r="B462" s="1" t="e">
        <f>'SC4 MF- TDHCA'!#REF!</f>
        <v>#REF!</v>
      </c>
      <c r="C462" s="50"/>
      <c r="D462" s="56"/>
      <c r="J462" s="72"/>
      <c r="K462" s="56"/>
    </row>
    <row r="463" spans="1:12" ht="12">
      <c r="A463" s="51">
        <v>108</v>
      </c>
      <c r="B463" s="1" t="e">
        <f>'SC4 MF- TDHCA'!#REF!</f>
        <v>#REF!</v>
      </c>
      <c r="C463" s="50" t="s">
        <v>230</v>
      </c>
      <c r="D463" s="56">
        <v>12500000</v>
      </c>
      <c r="J463" s="72"/>
      <c r="K463" s="56"/>
    </row>
    <row r="464" spans="1:12" ht="12">
      <c r="A464" s="51"/>
      <c r="B464" s="1" t="e">
        <f>'SC4 MF- TDHCA'!#REF!</f>
        <v>#REF!</v>
      </c>
      <c r="C464" s="50" t="s">
        <v>169</v>
      </c>
      <c r="D464" s="56"/>
      <c r="J464" s="72"/>
      <c r="K464" s="56"/>
    </row>
    <row r="465" spans="1:11" ht="12">
      <c r="A465" s="51"/>
      <c r="B465" s="1" t="e">
        <f>'SC4 MF- TDHCA'!#REF!</f>
        <v>#REF!</v>
      </c>
      <c r="C465" s="50" t="s">
        <v>33</v>
      </c>
      <c r="D465" s="56"/>
      <c r="J465" s="72"/>
      <c r="K465" s="56"/>
    </row>
    <row r="466" spans="1:11" ht="12">
      <c r="A466" s="51"/>
      <c r="B466" s="1" t="e">
        <f>'SC4 MF- TDHCA'!#REF!</f>
        <v>#REF!</v>
      </c>
      <c r="C466" s="50"/>
      <c r="D466" s="56"/>
      <c r="J466" s="72"/>
      <c r="K466" s="56"/>
    </row>
    <row r="467" spans="1:11" ht="12">
      <c r="A467" s="51">
        <v>114</v>
      </c>
      <c r="B467" s="1" t="e">
        <f>'SC4 MF- TDHCA'!#REF!</f>
        <v>#REF!</v>
      </c>
      <c r="C467" s="50" t="s">
        <v>156</v>
      </c>
      <c r="D467" s="56">
        <v>12250000</v>
      </c>
      <c r="J467" s="72"/>
      <c r="K467" s="56"/>
    </row>
    <row r="468" spans="1:11" ht="12">
      <c r="A468" s="51"/>
      <c r="B468" s="1" t="e">
        <f>'SC4 MF- TDHCA'!#REF!</f>
        <v>#REF!</v>
      </c>
      <c r="C468" s="50" t="s">
        <v>51</v>
      </c>
      <c r="D468" s="56"/>
      <c r="J468" s="72"/>
      <c r="K468" s="56"/>
    </row>
    <row r="469" spans="1:11" ht="12">
      <c r="A469" s="51"/>
      <c r="B469" s="1" t="e">
        <f>'SC4 MF- TDHCA'!#REF!</f>
        <v>#REF!</v>
      </c>
      <c r="C469" s="50" t="s">
        <v>232</v>
      </c>
      <c r="D469" s="56"/>
      <c r="J469" s="72"/>
      <c r="K469" s="56"/>
    </row>
    <row r="470" spans="1:11" ht="12">
      <c r="A470" s="51"/>
      <c r="B470" s="1" t="e">
        <f>'SC4 MF- TDHCA'!#REF!</f>
        <v>#REF!</v>
      </c>
      <c r="C470" s="50"/>
      <c r="D470" s="56"/>
      <c r="J470" s="72"/>
      <c r="K470" s="56"/>
    </row>
    <row r="471" spans="1:11" ht="12">
      <c r="A471" s="51">
        <v>116</v>
      </c>
      <c r="B471" s="1" t="e">
        <f>'SC4 MF- TDHCA'!#REF!</f>
        <v>#REF!</v>
      </c>
      <c r="C471" s="50" t="s">
        <v>156</v>
      </c>
      <c r="D471" s="56">
        <v>11175000</v>
      </c>
      <c r="J471" s="72"/>
      <c r="K471" s="56"/>
    </row>
    <row r="472" spans="1:11" ht="12">
      <c r="A472" s="51"/>
      <c r="B472" s="1" t="e">
        <f>'SC4 MF- TDHCA'!#REF!</f>
        <v>#REF!</v>
      </c>
      <c r="C472" s="50" t="s">
        <v>220</v>
      </c>
      <c r="D472" s="56"/>
      <c r="J472" s="72"/>
      <c r="K472" s="56"/>
    </row>
    <row r="473" spans="1:11" ht="12">
      <c r="A473" s="51"/>
      <c r="B473" s="1" t="e">
        <f>'SC4 MF- TDHCA'!#REF!</f>
        <v>#REF!</v>
      </c>
      <c r="C473" s="50" t="s">
        <v>232</v>
      </c>
      <c r="D473" s="56"/>
      <c r="J473" s="72"/>
      <c r="K473" s="56"/>
    </row>
    <row r="474" spans="1:11" ht="12">
      <c r="A474" s="51"/>
      <c r="B474" s="1" t="e">
        <f>'SC4 MF- TDHCA'!#REF!</f>
        <v>#REF!</v>
      </c>
      <c r="C474" s="50"/>
      <c r="D474" s="56"/>
      <c r="J474" s="72"/>
      <c r="K474" s="56"/>
    </row>
    <row r="475" spans="1:11" ht="12">
      <c r="A475" s="51">
        <v>117</v>
      </c>
      <c r="B475" s="1" t="e">
        <f>'SC4 MF- TDHCA'!#REF!</f>
        <v>#REF!</v>
      </c>
      <c r="C475" s="50" t="s">
        <v>156</v>
      </c>
      <c r="D475" s="56">
        <v>15000000</v>
      </c>
      <c r="J475" s="72"/>
      <c r="K475" s="56"/>
    </row>
    <row r="476" spans="1:11" ht="12">
      <c r="A476" s="51"/>
      <c r="B476" s="1" t="e">
        <f>'SC4 MF- TDHCA'!#REF!</f>
        <v>#REF!</v>
      </c>
      <c r="C476" s="50" t="s">
        <v>134</v>
      </c>
      <c r="D476" s="56"/>
      <c r="J476" s="72"/>
      <c r="K476" s="56"/>
    </row>
    <row r="477" spans="1:11" ht="12">
      <c r="A477" s="51"/>
      <c r="B477" s="1" t="e">
        <f>'SC4 MF- TDHCA'!#REF!</f>
        <v>#REF!</v>
      </c>
      <c r="C477" s="50" t="s">
        <v>4</v>
      </c>
      <c r="D477" s="56"/>
      <c r="J477" s="72"/>
      <c r="K477" s="56"/>
    </row>
    <row r="478" spans="1:11" ht="12">
      <c r="A478" s="51"/>
      <c r="B478" s="1" t="e">
        <f>'SC4 MF- TDHCA'!#REF!</f>
        <v>#REF!</v>
      </c>
      <c r="C478" s="50"/>
      <c r="D478" s="56"/>
      <c r="J478" s="72"/>
      <c r="K478" s="56"/>
    </row>
    <row r="479" spans="1:11" ht="12">
      <c r="A479" s="51">
        <v>119</v>
      </c>
      <c r="B479" s="1" t="e">
        <f>'SC4 MF- TDHCA'!#REF!</f>
        <v>#REF!</v>
      </c>
      <c r="C479" s="50" t="s">
        <v>156</v>
      </c>
      <c r="D479" s="56">
        <v>15000000</v>
      </c>
      <c r="J479" s="72"/>
      <c r="K479" s="56"/>
    </row>
    <row r="480" spans="1:11" ht="12">
      <c r="A480" s="51"/>
      <c r="B480" s="1" t="e">
        <f>'SC4 MF- TDHCA'!#REF!</f>
        <v>#REF!</v>
      </c>
      <c r="C480" s="50" t="s">
        <v>35</v>
      </c>
      <c r="D480" s="56"/>
      <c r="J480" s="72"/>
      <c r="K480" s="56"/>
    </row>
    <row r="481" spans="1:11" ht="12">
      <c r="A481" s="51"/>
      <c r="B481" s="1" t="e">
        <f>'SC4 MF- TDHCA'!#REF!</f>
        <v>#REF!</v>
      </c>
      <c r="C481" s="50" t="s">
        <v>204</v>
      </c>
      <c r="D481" s="56"/>
      <c r="J481" s="72"/>
      <c r="K481" s="56"/>
    </row>
    <row r="482" spans="1:11" ht="12">
      <c r="A482" s="51"/>
      <c r="B482" s="1" t="e">
        <f>'SC4 MF- TDHCA'!#REF!</f>
        <v>#REF!</v>
      </c>
      <c r="C482" s="50"/>
      <c r="D482" s="56"/>
      <c r="J482" s="72"/>
      <c r="K482" s="56"/>
    </row>
    <row r="483" spans="1:11" ht="12">
      <c r="A483" s="51">
        <v>124</v>
      </c>
      <c r="B483" s="1" t="e">
        <f>'SC4 MF- TDHCA'!#REF!</f>
        <v>#REF!</v>
      </c>
      <c r="C483" s="50" t="s">
        <v>156</v>
      </c>
      <c r="D483" s="56">
        <v>13500000</v>
      </c>
      <c r="J483" s="72"/>
      <c r="K483" s="56"/>
    </row>
    <row r="484" spans="1:11" ht="12">
      <c r="A484" s="51"/>
      <c r="B484" s="1" t="e">
        <f>'SC4 MF- TDHCA'!#REF!</f>
        <v>#REF!</v>
      </c>
      <c r="C484" s="50" t="s">
        <v>100</v>
      </c>
      <c r="D484" s="56"/>
      <c r="J484" s="72"/>
      <c r="K484" s="56"/>
    </row>
    <row r="485" spans="1:11" ht="12">
      <c r="A485" s="51"/>
      <c r="B485" s="1" t="e">
        <f>'SC4 MF- TDHCA'!#REF!</f>
        <v>#REF!</v>
      </c>
      <c r="C485" s="50" t="s">
        <v>232</v>
      </c>
      <c r="D485" s="56"/>
      <c r="J485" s="72"/>
      <c r="K485" s="56"/>
    </row>
    <row r="486" spans="1:11" ht="12">
      <c r="A486" s="21"/>
      <c r="B486" s="1" t="e">
        <f>'SC4 MF- TDHCA'!#REF!</f>
        <v>#REF!</v>
      </c>
      <c r="C486" s="50"/>
      <c r="D486" s="56"/>
      <c r="J486" s="72"/>
      <c r="K486" s="56"/>
    </row>
    <row r="487" spans="1:11" ht="12">
      <c r="A487" s="51">
        <v>126</v>
      </c>
      <c r="B487" s="1" t="e">
        <f>'SC4 MF- TDHCA'!#REF!</f>
        <v>#REF!</v>
      </c>
      <c r="C487" s="50" t="s">
        <v>64</v>
      </c>
      <c r="D487" s="56">
        <v>15000000</v>
      </c>
      <c r="J487" s="72"/>
      <c r="K487" s="56"/>
    </row>
    <row r="488" spans="1:11" ht="12">
      <c r="A488" s="21"/>
      <c r="B488" s="1" t="e">
        <f>'SC4 MF- TDHCA'!#REF!</f>
        <v>#REF!</v>
      </c>
      <c r="C488" s="50" t="s">
        <v>73</v>
      </c>
      <c r="D488" s="56"/>
      <c r="J488" s="72"/>
      <c r="K488" s="56"/>
    </row>
    <row r="489" spans="1:11" ht="12">
      <c r="A489" s="21"/>
      <c r="B489" s="1" t="e">
        <f>'SC4 MF- TDHCA'!#REF!</f>
        <v>#REF!</v>
      </c>
      <c r="C489" s="50" t="s">
        <v>275</v>
      </c>
      <c r="D489" s="56"/>
      <c r="J489" s="72"/>
      <c r="K489" s="56"/>
    </row>
    <row r="490" spans="1:11" ht="12">
      <c r="A490" s="21"/>
      <c r="B490" s="1" t="e">
        <f>'SC4 MF- TDHCA'!#REF!</f>
        <v>#REF!</v>
      </c>
      <c r="C490" s="50"/>
      <c r="D490" s="56"/>
      <c r="J490" s="72"/>
      <c r="K490" s="56"/>
    </row>
    <row r="491" spans="1:11" ht="12">
      <c r="A491" s="51">
        <v>130</v>
      </c>
      <c r="B491" s="1" t="e">
        <f>'SC4 MF- TDHCA'!#REF!</f>
        <v>#REF!</v>
      </c>
      <c r="C491" s="51" t="s">
        <v>156</v>
      </c>
      <c r="D491" s="56">
        <v>13500000</v>
      </c>
      <c r="J491" s="72"/>
      <c r="K491" s="56"/>
    </row>
    <row r="492" spans="1:11" ht="12">
      <c r="A492" s="51"/>
      <c r="B492" s="1" t="e">
        <f>'SC4 MF- TDHCA'!#REF!</f>
        <v>#REF!</v>
      </c>
      <c r="C492" s="50" t="s">
        <v>233</v>
      </c>
      <c r="D492" s="56"/>
      <c r="J492" s="72"/>
      <c r="K492" s="56"/>
    </row>
    <row r="493" spans="1:11" ht="12">
      <c r="A493" s="51"/>
      <c r="B493" s="1" t="e">
        <f>'SC4 MF- TDHCA'!#REF!</f>
        <v>#REF!</v>
      </c>
      <c r="C493" s="50" t="s">
        <v>232</v>
      </c>
      <c r="D493" s="56"/>
      <c r="J493" s="72"/>
      <c r="K493" s="56"/>
    </row>
    <row r="494" spans="1:11" ht="12">
      <c r="A494" s="51"/>
      <c r="B494" s="1" t="e">
        <f>'SC4 MF- TDHCA'!#REF!</f>
        <v>#REF!</v>
      </c>
      <c r="C494" s="51"/>
      <c r="D494" s="56"/>
      <c r="J494" s="72"/>
      <c r="K494" s="56"/>
    </row>
    <row r="495" spans="1:11" ht="12">
      <c r="A495" s="51">
        <v>131</v>
      </c>
      <c r="B495" s="1" t="e">
        <f>'SC4 MF- TDHCA'!#REF!</f>
        <v>#REF!</v>
      </c>
      <c r="C495" s="51" t="s">
        <v>156</v>
      </c>
      <c r="D495" s="56">
        <v>11900000</v>
      </c>
      <c r="J495" s="72"/>
      <c r="K495" s="56"/>
    </row>
    <row r="496" spans="1:11" ht="12">
      <c r="A496" s="51"/>
      <c r="B496" s="1" t="e">
        <f>'SC4 MF- TDHCA'!#REF!</f>
        <v>#REF!</v>
      </c>
      <c r="C496" s="50" t="s">
        <v>202</v>
      </c>
      <c r="D496" s="56"/>
      <c r="J496" s="72"/>
      <c r="K496" s="56"/>
    </row>
    <row r="497" spans="1:11" ht="12">
      <c r="A497" s="51"/>
      <c r="B497" s="1" t="e">
        <f>'SC4 MF- TDHCA'!#REF!</f>
        <v>#REF!</v>
      </c>
      <c r="C497" s="50" t="s">
        <v>232</v>
      </c>
      <c r="D497" s="56"/>
      <c r="J497" s="72"/>
      <c r="K497" s="56"/>
    </row>
    <row r="498" spans="1:11" ht="12">
      <c r="A498" s="51"/>
      <c r="B498" s="1" t="e">
        <f>'SC4 MF- TDHCA'!#REF!</f>
        <v>#REF!</v>
      </c>
      <c r="C498" s="51"/>
      <c r="D498" s="56"/>
      <c r="J498" s="72"/>
      <c r="K498" s="56"/>
    </row>
    <row r="499" spans="1:11" ht="12">
      <c r="A499" s="51">
        <v>146</v>
      </c>
      <c r="B499" s="1" t="e">
        <f>'SC4 MF- TDHCA'!#REF!</f>
        <v>#REF!</v>
      </c>
      <c r="C499" s="51" t="s">
        <v>156</v>
      </c>
      <c r="D499" s="56">
        <v>11175000</v>
      </c>
      <c r="J499" s="72"/>
      <c r="K499" s="56"/>
    </row>
    <row r="500" spans="1:11" ht="12">
      <c r="A500" s="51"/>
      <c r="B500" s="1" t="e">
        <f>'SC4 MF- TDHCA'!#REF!</f>
        <v>#REF!</v>
      </c>
      <c r="C500" s="50" t="s">
        <v>1</v>
      </c>
      <c r="D500" s="56"/>
      <c r="J500" s="72"/>
      <c r="K500" s="56"/>
    </row>
    <row r="501" spans="1:11" ht="12">
      <c r="A501" s="51"/>
      <c r="B501" s="1" t="e">
        <f>'SC4 MF- TDHCA'!#REF!</f>
        <v>#REF!</v>
      </c>
      <c r="C501" s="50" t="s">
        <v>232</v>
      </c>
      <c r="D501" s="56"/>
      <c r="J501" s="72"/>
      <c r="K501" s="56"/>
    </row>
    <row r="502" spans="1:11" ht="12">
      <c r="A502" s="51"/>
      <c r="B502" s="1" t="e">
        <f>'SC4 MF- TDHCA'!#REF!</f>
        <v>#REF!</v>
      </c>
      <c r="C502" s="51"/>
      <c r="D502" s="56"/>
      <c r="J502" s="72"/>
      <c r="K502" s="56"/>
    </row>
    <row r="503" spans="1:11" ht="12">
      <c r="A503" s="51">
        <v>147</v>
      </c>
      <c r="B503" s="1" t="e">
        <f>'SC4 MF- TDHCA'!#REF!</f>
        <v>#REF!</v>
      </c>
      <c r="C503" s="51" t="s">
        <v>156</v>
      </c>
      <c r="D503" s="56">
        <v>13500000</v>
      </c>
      <c r="J503" s="72"/>
      <c r="K503" s="56"/>
    </row>
    <row r="504" spans="1:11" ht="12">
      <c r="A504" s="51"/>
      <c r="B504" s="21" t="e">
        <f>'SC4 MF- TDHCA'!#REF!</f>
        <v>#REF!</v>
      </c>
      <c r="C504" s="50" t="s">
        <v>99</v>
      </c>
      <c r="D504" s="56"/>
      <c r="J504" s="72"/>
      <c r="K504" s="56"/>
    </row>
    <row r="505" spans="1:11" ht="12">
      <c r="A505" s="51"/>
      <c r="B505" s="21" t="e">
        <f>'SC4 MF- TDHCA'!#REF!</f>
        <v>#REF!</v>
      </c>
      <c r="C505" s="50" t="s">
        <v>232</v>
      </c>
      <c r="D505" s="56"/>
      <c r="J505" s="72"/>
      <c r="K505" s="56"/>
    </row>
    <row r="506" spans="1:11" ht="12">
      <c r="A506" s="51"/>
      <c r="B506" s="21" t="e">
        <f>'SC4 MF- TDHCA'!#REF!</f>
        <v>#REF!</v>
      </c>
      <c r="C506" s="51"/>
      <c r="D506" s="56"/>
      <c r="J506" s="72"/>
      <c r="K506" s="56"/>
    </row>
    <row r="507" spans="1:11" ht="12">
      <c r="A507" s="51">
        <v>149</v>
      </c>
      <c r="B507" s="1" t="e">
        <f>'SC4 MF- TDHCA'!#REF!</f>
        <v>#REF!</v>
      </c>
      <c r="C507" s="51" t="s">
        <v>156</v>
      </c>
      <c r="D507" s="56">
        <v>13500000</v>
      </c>
      <c r="J507" s="72"/>
      <c r="K507" s="56"/>
    </row>
    <row r="508" spans="1:11" ht="12">
      <c r="A508" s="51"/>
      <c r="B508" s="21" t="e">
        <f>'SC4 MF- TDHCA'!#REF!</f>
        <v>#REF!</v>
      </c>
      <c r="C508" s="50" t="s">
        <v>258</v>
      </c>
      <c r="D508" s="56"/>
      <c r="J508" s="72"/>
      <c r="K508" s="56"/>
    </row>
    <row r="509" spans="1:11" ht="12">
      <c r="A509" s="51"/>
      <c r="B509" s="21" t="e">
        <f>'SC4 MF- TDHCA'!#REF!</f>
        <v>#REF!</v>
      </c>
      <c r="C509" s="50" t="s">
        <v>232</v>
      </c>
      <c r="D509" s="56"/>
      <c r="J509" s="72"/>
      <c r="K509" s="56"/>
    </row>
    <row r="510" spans="1:11" ht="12">
      <c r="A510" s="51"/>
      <c r="B510" s="21" t="e">
        <f>'SC4 MF- TDHCA'!#REF!</f>
        <v>#REF!</v>
      </c>
      <c r="C510" s="51"/>
      <c r="D510" s="56"/>
      <c r="J510" s="72"/>
      <c r="K510" s="56"/>
    </row>
    <row r="511" spans="1:11" ht="12">
      <c r="A511" s="51">
        <v>155</v>
      </c>
      <c r="B511" s="1" t="e">
        <f>'SC4 MF- TDHCA'!#REF!</f>
        <v>#REF!</v>
      </c>
      <c r="C511" s="51" t="s">
        <v>156</v>
      </c>
      <c r="D511" s="56">
        <v>13500000</v>
      </c>
      <c r="J511" s="72"/>
      <c r="K511" s="56"/>
    </row>
    <row r="512" spans="1:11" ht="12">
      <c r="A512" s="51"/>
      <c r="B512" s="21" t="e">
        <f>'SC4 MF- TDHCA'!#REF!</f>
        <v>#REF!</v>
      </c>
      <c r="C512" s="50" t="s">
        <v>141</v>
      </c>
      <c r="D512" s="56"/>
      <c r="J512" s="72"/>
      <c r="K512" s="56"/>
    </row>
    <row r="513" spans="1:11" ht="12">
      <c r="A513" s="51"/>
      <c r="B513" s="21" t="e">
        <f>'SC4 MF- TDHCA'!#REF!</f>
        <v>#REF!</v>
      </c>
      <c r="C513" s="50" t="s">
        <v>232</v>
      </c>
      <c r="D513" s="56"/>
      <c r="J513" s="72"/>
      <c r="K513" s="56"/>
    </row>
    <row r="514" spans="1:11" ht="12">
      <c r="A514" s="51"/>
      <c r="B514" s="21" t="e">
        <f>'SC4 MF- TDHCA'!#REF!</f>
        <v>#REF!</v>
      </c>
      <c r="C514" s="51"/>
      <c r="D514" s="56"/>
      <c r="J514" s="72"/>
      <c r="K514" s="56"/>
    </row>
    <row r="515" spans="1:11" ht="12">
      <c r="A515" s="51">
        <v>165</v>
      </c>
      <c r="B515" s="1" t="e">
        <f>'SC4 MF- TDHCA'!#REF!</f>
        <v>#REF!</v>
      </c>
      <c r="C515" s="51" t="s">
        <v>156</v>
      </c>
      <c r="D515" s="56">
        <v>10900000</v>
      </c>
      <c r="J515" s="72"/>
      <c r="K515" s="56"/>
    </row>
    <row r="516" spans="1:11" ht="12">
      <c r="A516" s="51"/>
      <c r="B516" s="21" t="e">
        <f>'SC4 MF- TDHCA'!#REF!</f>
        <v>#REF!</v>
      </c>
      <c r="C516" s="50" t="s">
        <v>58</v>
      </c>
      <c r="D516" s="56"/>
      <c r="J516" s="72"/>
      <c r="K516" s="56"/>
    </row>
    <row r="517" spans="1:11" ht="12">
      <c r="A517" s="51"/>
      <c r="B517" s="21" t="e">
        <f>'SC4 MF- TDHCA'!#REF!</f>
        <v>#REF!</v>
      </c>
      <c r="C517" s="50" t="s">
        <v>44</v>
      </c>
      <c r="D517" s="56"/>
      <c r="J517" s="72"/>
      <c r="K517" s="56"/>
    </row>
    <row r="518" spans="1:11" ht="12">
      <c r="A518" s="51"/>
      <c r="B518" s="21" t="e">
        <f>'SC4 MF- TDHCA'!#REF!</f>
        <v>#REF!</v>
      </c>
      <c r="C518" s="51"/>
      <c r="D518" s="56"/>
      <c r="J518" s="72"/>
      <c r="K518" s="56"/>
    </row>
    <row r="519" spans="1:11" ht="12">
      <c r="A519" s="51">
        <v>169</v>
      </c>
      <c r="B519" s="1" t="e">
        <f>'SC4 MF- TDHCA'!#REF!</f>
        <v>#REF!</v>
      </c>
      <c r="C519" s="51" t="s">
        <v>156</v>
      </c>
      <c r="D519" s="56">
        <v>11900000</v>
      </c>
      <c r="J519" s="72"/>
      <c r="K519" s="56"/>
    </row>
    <row r="520" spans="1:11" ht="12">
      <c r="A520" s="51"/>
      <c r="B520" s="21" t="e">
        <f>'SC4 MF- TDHCA'!#REF!</f>
        <v>#REF!</v>
      </c>
      <c r="C520" s="50" t="s">
        <v>139</v>
      </c>
      <c r="D520" s="56"/>
      <c r="J520" s="72"/>
      <c r="K520" s="56"/>
    </row>
    <row r="521" spans="1:11" ht="12">
      <c r="A521" s="51"/>
      <c r="B521" s="21" t="e">
        <f>'SC4 MF- TDHCA'!#REF!</f>
        <v>#REF!</v>
      </c>
      <c r="C521" s="50" t="s">
        <v>232</v>
      </c>
      <c r="D521" s="56"/>
      <c r="J521" s="72"/>
      <c r="K521" s="56"/>
    </row>
    <row r="522" spans="1:11" ht="12">
      <c r="A522" s="51"/>
      <c r="B522" s="21" t="e">
        <f>'SC4 MF- TDHCA'!#REF!</f>
        <v>#REF!</v>
      </c>
      <c r="C522" s="51"/>
      <c r="D522" s="56"/>
      <c r="J522" s="72"/>
      <c r="K522" s="56"/>
    </row>
    <row r="523" spans="1:11" ht="12">
      <c r="A523" s="51">
        <v>183</v>
      </c>
      <c r="B523" s="1" t="e">
        <f>'SC4 MF- TDHCA'!#REF!</f>
        <v>#REF!</v>
      </c>
      <c r="C523" s="51" t="s">
        <v>156</v>
      </c>
      <c r="D523" s="56">
        <v>11950000</v>
      </c>
      <c r="J523" s="72"/>
      <c r="K523" s="56"/>
    </row>
    <row r="524" spans="1:11" ht="12">
      <c r="A524" s="51"/>
      <c r="B524" s="21" t="e">
        <f>'SC4 MF- TDHCA'!#REF!</f>
        <v>#REF!</v>
      </c>
      <c r="C524" s="50" t="s">
        <v>86</v>
      </c>
      <c r="D524" s="56"/>
      <c r="J524" s="72"/>
      <c r="K524" s="56"/>
    </row>
    <row r="525" spans="1:11" ht="12">
      <c r="A525" s="51"/>
      <c r="B525" s="21" t="e">
        <f>'SC4 MF- TDHCA'!#REF!</f>
        <v>#REF!</v>
      </c>
      <c r="C525" s="50" t="s">
        <v>232</v>
      </c>
      <c r="D525" s="56"/>
      <c r="J525" s="72"/>
      <c r="K525" s="56"/>
    </row>
    <row r="526" spans="1:11" ht="12.95" customHeight="1">
      <c r="A526" s="51"/>
      <c r="B526" s="21" t="e">
        <f>'SC4 MF- TDHCA'!#REF!</f>
        <v>#REF!</v>
      </c>
      <c r="C526" s="51"/>
      <c r="D526" s="56"/>
      <c r="J526" s="72"/>
      <c r="K526" s="56"/>
    </row>
    <row r="527" spans="1:11" ht="12">
      <c r="A527" s="51">
        <v>198</v>
      </c>
      <c r="B527" s="1" t="e">
        <f>'SC4 MF- TDHCA'!#REF!</f>
        <v>#REF!</v>
      </c>
      <c r="C527" s="51" t="s">
        <v>156</v>
      </c>
      <c r="D527" s="56">
        <v>14000000</v>
      </c>
      <c r="J527" s="72"/>
      <c r="K527" s="56"/>
    </row>
    <row r="528" spans="1:11" ht="12">
      <c r="A528" s="51"/>
      <c r="B528" s="1" t="e">
        <f>'SC4 MF- TDHCA'!#REF!</f>
        <v>#REF!</v>
      </c>
      <c r="C528" s="50" t="s">
        <v>153</v>
      </c>
      <c r="D528" s="56"/>
      <c r="J528" s="72"/>
      <c r="K528" s="56"/>
    </row>
    <row r="529" spans="1:11" ht="12">
      <c r="A529" s="51"/>
      <c r="B529" s="1" t="e">
        <f>'SC4 MF- TDHCA'!#REF!</f>
        <v>#REF!</v>
      </c>
      <c r="C529" s="50" t="s">
        <v>26</v>
      </c>
      <c r="D529" s="56"/>
      <c r="J529" s="72"/>
      <c r="K529" s="56"/>
    </row>
    <row r="530" spans="1:11" ht="12">
      <c r="A530" s="51"/>
      <c r="B530" s="1" t="e">
        <f>'SC4 MF- TDHCA'!#REF!</f>
        <v>#REF!</v>
      </c>
      <c r="C530" s="51"/>
      <c r="D530" s="56"/>
      <c r="J530" s="72"/>
      <c r="K530" s="56"/>
    </row>
    <row r="531" spans="1:11" ht="12">
      <c r="A531" s="51">
        <v>200</v>
      </c>
      <c r="B531" s="1" t="e">
        <f>'SC4 MF- TDHCA'!#REF!</f>
        <v>#REF!</v>
      </c>
      <c r="C531" s="51" t="s">
        <v>156</v>
      </c>
      <c r="D531" s="56">
        <v>13500000</v>
      </c>
      <c r="J531" s="72"/>
      <c r="K531" s="56"/>
    </row>
    <row r="532" spans="1:11" ht="12">
      <c r="A532" s="21"/>
      <c r="B532" s="1" t="e">
        <f>'SC4 MF- TDHCA'!#REF!</f>
        <v>#REF!</v>
      </c>
      <c r="C532" s="50" t="s">
        <v>225</v>
      </c>
      <c r="D532" s="56"/>
      <c r="J532" s="72"/>
      <c r="K532" s="56"/>
    </row>
    <row r="533" spans="1:11" ht="12">
      <c r="A533" s="21"/>
      <c r="B533" s="1" t="e">
        <f>'SC4 MF- TDHCA'!#REF!</f>
        <v>#REF!</v>
      </c>
      <c r="C533" s="50" t="s">
        <v>232</v>
      </c>
      <c r="D533" s="56"/>
      <c r="J533" s="72"/>
      <c r="K533" s="56"/>
    </row>
    <row r="534" spans="1:11">
      <c r="A534" s="21"/>
      <c r="B534" s="1" t="e">
        <f>'SC4 MF- TDHCA'!#REF!</f>
        <v>#REF!</v>
      </c>
      <c r="D534" s="56"/>
      <c r="J534" s="72"/>
      <c r="K534" s="56"/>
    </row>
    <row r="535" spans="1:11" ht="12">
      <c r="A535" s="51">
        <v>201</v>
      </c>
      <c r="B535" s="1" t="e">
        <f>'SC4 MF- TDHCA'!#REF!</f>
        <v>#REF!</v>
      </c>
      <c r="C535" s="50" t="s">
        <v>156</v>
      </c>
      <c r="D535" s="56">
        <v>10750000</v>
      </c>
      <c r="J535" s="72"/>
      <c r="K535" s="56"/>
    </row>
    <row r="536" spans="1:11" ht="12">
      <c r="A536" s="51"/>
      <c r="B536" s="1" t="e">
        <f>'SC4 MF- TDHCA'!#REF!</f>
        <v>#REF!</v>
      </c>
      <c r="C536" s="50" t="s">
        <v>243</v>
      </c>
      <c r="D536" s="56"/>
      <c r="J536" s="72"/>
      <c r="K536" s="56"/>
    </row>
    <row r="537" spans="1:11" ht="12">
      <c r="A537" s="51"/>
      <c r="B537" s="1" t="e">
        <f>'SC4 MF- TDHCA'!#REF!</f>
        <v>#REF!</v>
      </c>
      <c r="C537" s="50" t="s">
        <v>130</v>
      </c>
      <c r="D537" s="56"/>
      <c r="J537" s="72"/>
      <c r="K537" s="56"/>
    </row>
    <row r="538" spans="1:11" ht="12">
      <c r="A538" s="51"/>
      <c r="B538" s="1" t="e">
        <f>'SC4 MF- TDHCA'!#REF!</f>
        <v>#REF!</v>
      </c>
      <c r="C538" s="50"/>
      <c r="D538" s="56"/>
      <c r="J538" s="72"/>
      <c r="K538" s="56"/>
    </row>
    <row r="539" spans="1:11" ht="12">
      <c r="A539" s="51">
        <v>202</v>
      </c>
      <c r="B539" s="1" t="e">
        <f>'SC4 MF- TDHCA'!#REF!</f>
        <v>#REF!</v>
      </c>
      <c r="C539" s="50" t="s">
        <v>156</v>
      </c>
      <c r="D539" s="56">
        <v>12500000</v>
      </c>
      <c r="J539" s="72"/>
      <c r="K539" s="56"/>
    </row>
    <row r="540" spans="1:11" ht="12">
      <c r="A540" s="51"/>
      <c r="B540" s="1" t="e">
        <f>'SC4 MF- TDHCA'!#REF!</f>
        <v>#REF!</v>
      </c>
      <c r="C540" s="50" t="s">
        <v>146</v>
      </c>
      <c r="D540" s="56"/>
      <c r="J540" s="72"/>
      <c r="K540" s="56"/>
    </row>
    <row r="541" spans="1:11" ht="12">
      <c r="A541" s="51"/>
      <c r="B541" s="1" t="e">
        <f>'SC4 MF- TDHCA'!#REF!</f>
        <v>#REF!</v>
      </c>
      <c r="C541" s="50" t="s">
        <v>183</v>
      </c>
      <c r="D541" s="56"/>
      <c r="J541" s="72"/>
      <c r="K541" s="56"/>
    </row>
    <row r="542" spans="1:11" ht="12">
      <c r="A542" s="51"/>
      <c r="B542" s="1" t="e">
        <f>'SC4 MF- TDHCA'!#REF!</f>
        <v>#REF!</v>
      </c>
      <c r="C542" s="50"/>
      <c r="D542" s="56"/>
      <c r="J542" s="72"/>
      <c r="K542" s="56"/>
    </row>
    <row r="543" spans="1:11" ht="14.1" customHeight="1">
      <c r="A543" s="51">
        <v>203</v>
      </c>
      <c r="B543" s="1" t="e">
        <f>'SC4 MF- TDHCA'!#REF!</f>
        <v>#REF!</v>
      </c>
      <c r="C543" s="50" t="s">
        <v>156</v>
      </c>
      <c r="D543" s="56">
        <v>13500000</v>
      </c>
      <c r="J543" s="72"/>
      <c r="K543" s="56"/>
    </row>
    <row r="544" spans="1:11" ht="14.1" customHeight="1">
      <c r="A544" s="51"/>
      <c r="B544" s="1" t="e">
        <f>'SC4 MF- TDHCA'!#REF!</f>
        <v>#REF!</v>
      </c>
      <c r="C544" s="50" t="s">
        <v>49</v>
      </c>
      <c r="D544" s="56"/>
      <c r="J544" s="72"/>
      <c r="K544" s="56"/>
    </row>
    <row r="545" spans="1:18" ht="14.1" customHeight="1">
      <c r="A545" s="51"/>
      <c r="B545" s="1" t="e">
        <f>'SC4 MF- TDHCA'!#REF!</f>
        <v>#REF!</v>
      </c>
      <c r="C545" s="50" t="s">
        <v>23</v>
      </c>
      <c r="D545" s="56"/>
      <c r="J545" s="72"/>
      <c r="K545" s="56"/>
    </row>
    <row r="546" spans="1:18" ht="14.1" customHeight="1">
      <c r="A546" s="51"/>
      <c r="B546" s="1" t="e">
        <f>'SC4 MF- TDHCA'!#REF!</f>
        <v>#REF!</v>
      </c>
      <c r="C546" s="50"/>
      <c r="D546" s="56"/>
      <c r="J546" s="72"/>
      <c r="K546" s="56"/>
    </row>
    <row r="547" spans="1:18" ht="12">
      <c r="A547" s="51">
        <v>205</v>
      </c>
      <c r="B547" s="1" t="e">
        <f>'SC4 MF- TDHCA'!#REF!</f>
        <v>#REF!</v>
      </c>
      <c r="C547" s="50" t="s">
        <v>156</v>
      </c>
      <c r="D547" s="56">
        <v>12875000</v>
      </c>
      <c r="J547" s="72"/>
      <c r="K547" s="56"/>
    </row>
    <row r="548" spans="1:18" ht="12">
      <c r="A548" s="51"/>
      <c r="C548" s="50" t="s">
        <v>12</v>
      </c>
      <c r="D548" s="56"/>
      <c r="J548" s="72"/>
      <c r="K548" s="56"/>
    </row>
    <row r="549" spans="1:18" ht="12">
      <c r="A549" s="51"/>
      <c r="C549" s="50" t="s">
        <v>24</v>
      </c>
      <c r="D549" s="56"/>
      <c r="J549" s="72"/>
      <c r="K549" s="56"/>
    </row>
    <row r="550" spans="1:18" s="26" customFormat="1" ht="11.25" thickBot="1">
      <c r="A550" s="21"/>
      <c r="B550" s="21"/>
      <c r="C550" s="21"/>
      <c r="D550" s="66"/>
      <c r="E550" s="75"/>
      <c r="F550" s="3"/>
      <c r="G550" s="3"/>
      <c r="H550" s="75"/>
      <c r="I550" s="3"/>
      <c r="J550" s="66"/>
      <c r="K550" s="83"/>
      <c r="L550" s="4"/>
    </row>
    <row r="551" spans="1:18" s="26" customFormat="1">
      <c r="A551" s="21"/>
      <c r="B551" s="21"/>
      <c r="C551" s="21"/>
      <c r="D551" s="67"/>
      <c r="E551" s="72"/>
      <c r="F551" s="3"/>
      <c r="G551" s="3"/>
      <c r="H551" s="72"/>
      <c r="I551" s="3"/>
      <c r="J551" s="67"/>
      <c r="K551" s="57"/>
      <c r="L551" s="4"/>
    </row>
    <row r="552" spans="1:18" s="26" customFormat="1">
      <c r="A552" s="1"/>
      <c r="B552" s="1"/>
      <c r="C552" s="12" t="s">
        <v>103</v>
      </c>
      <c r="D552" s="56">
        <f>SUM(D7:D549)</f>
        <v>1521770064</v>
      </c>
      <c r="E552" s="76" t="e">
        <f>SUM(E7:E549)</f>
        <v>#REF!</v>
      </c>
      <c r="F552" s="3"/>
      <c r="G552" s="3"/>
      <c r="H552" s="76">
        <f>SUM(H7:H550)</f>
        <v>289974000</v>
      </c>
      <c r="I552" s="3"/>
      <c r="J552" s="56">
        <f>SUM(J7:J550)</f>
        <v>149245000</v>
      </c>
      <c r="K552" s="56">
        <f>SUM(K7:K550)</f>
        <v>136585000</v>
      </c>
      <c r="L552" s="4"/>
    </row>
    <row r="553" spans="1:18">
      <c r="C553" s="12"/>
      <c r="E553" s="76"/>
      <c r="F553" s="3"/>
      <c r="G553" s="3"/>
      <c r="H553" s="76"/>
      <c r="I553" s="3"/>
      <c r="L553" s="4"/>
      <c r="M553" s="5"/>
      <c r="N553" s="5"/>
      <c r="O553" s="5"/>
      <c r="P553" s="49"/>
      <c r="Q553" s="49"/>
      <c r="R553" s="49"/>
    </row>
    <row r="554" spans="1:18">
      <c r="A554" s="12"/>
      <c r="B554" s="12"/>
      <c r="C554" s="12" t="s">
        <v>264</v>
      </c>
      <c r="D554" s="56" t="e">
        <f>SUM(D552-E552)</f>
        <v>#REF!</v>
      </c>
      <c r="E554" s="79"/>
      <c r="F554" s="4"/>
      <c r="G554" s="4"/>
      <c r="H554" s="73"/>
      <c r="I554" s="4"/>
      <c r="J554" s="63"/>
      <c r="K554" s="63"/>
      <c r="L554" s="4"/>
      <c r="M554" s="5"/>
      <c r="N554" s="5"/>
      <c r="O554" s="5"/>
      <c r="P554" s="49"/>
      <c r="Q554" s="49"/>
      <c r="R554" s="49"/>
    </row>
    <row r="555" spans="1:18">
      <c r="A555" s="12"/>
      <c r="B555" s="12"/>
      <c r="C555" s="12"/>
      <c r="E555" s="73"/>
      <c r="F555" s="4"/>
      <c r="G555" s="4"/>
      <c r="H555" s="73"/>
      <c r="I555" s="4"/>
      <c r="J555" s="63"/>
      <c r="K555" s="63"/>
      <c r="L555" s="4"/>
      <c r="M555" s="5"/>
      <c r="N555" s="5"/>
      <c r="O555" s="5"/>
      <c r="P555" s="49"/>
      <c r="Q555" s="49"/>
      <c r="R555" s="49"/>
    </row>
    <row r="556" spans="1:18">
      <c r="A556" s="12"/>
      <c r="B556" s="12"/>
      <c r="C556" s="12" t="s">
        <v>37</v>
      </c>
      <c r="D556" s="56" t="e">
        <f>+C1-E552+K552</f>
        <v>#REF!</v>
      </c>
      <c r="E556" s="73"/>
      <c r="F556" s="4"/>
      <c r="G556" s="4"/>
      <c r="H556" s="73"/>
      <c r="I556" s="4"/>
      <c r="J556" s="63"/>
      <c r="K556" s="63"/>
      <c r="L556" s="4"/>
      <c r="M556" s="5"/>
      <c r="N556" s="5"/>
      <c r="O556" s="5"/>
      <c r="P556" s="49"/>
      <c r="Q556" s="49"/>
      <c r="R556" s="49"/>
    </row>
    <row r="558" spans="1:18">
      <c r="B558" s="80"/>
      <c r="C558" s="81" t="s">
        <v>159</v>
      </c>
      <c r="D558" s="56">
        <f>Totals!D18</f>
        <v>144767849.55000001</v>
      </c>
      <c r="E558" s="385"/>
      <c r="F558" s="385"/>
    </row>
    <row r="560" spans="1:18">
      <c r="C560" s="12"/>
      <c r="D560" s="56"/>
    </row>
    <row r="564" spans="1:12">
      <c r="A564" s="386"/>
      <c r="B564" s="386"/>
      <c r="C564" s="386"/>
      <c r="D564" s="386"/>
      <c r="E564" s="386"/>
      <c r="F564" s="386"/>
      <c r="G564" s="386"/>
      <c r="H564" s="386"/>
    </row>
    <row r="566" spans="1:12">
      <c r="A566" s="385"/>
      <c r="B566" s="385"/>
      <c r="C566" s="385"/>
      <c r="D566" s="385"/>
      <c r="E566" s="385"/>
      <c r="F566" s="385"/>
      <c r="G566" s="385"/>
      <c r="H566" s="385"/>
      <c r="I566" s="385"/>
      <c r="J566" s="385"/>
      <c r="K566" s="385"/>
      <c r="L566" s="385"/>
    </row>
    <row r="568" spans="1:12">
      <c r="A568" s="386"/>
      <c r="B568" s="386"/>
      <c r="C568" s="386"/>
      <c r="D568" s="386"/>
      <c r="E568" s="386"/>
      <c r="F568" s="386"/>
      <c r="G568" s="386"/>
      <c r="H568" s="386"/>
      <c r="I568" s="386"/>
      <c r="J568" s="386"/>
      <c r="K568" s="386"/>
      <c r="L568" s="386"/>
    </row>
    <row r="570" spans="1:12">
      <c r="A570" s="386"/>
      <c r="B570" s="386"/>
      <c r="C570" s="386"/>
      <c r="D570" s="386"/>
      <c r="E570" s="386"/>
      <c r="F570" s="386"/>
      <c r="G570" s="386"/>
      <c r="H570" s="386"/>
      <c r="I570" s="386"/>
      <c r="J570" s="386"/>
      <c r="K570" s="386"/>
      <c r="L570" s="386"/>
    </row>
  </sheetData>
  <mergeCells count="5">
    <mergeCell ref="A570:L570"/>
    <mergeCell ref="E558:F558"/>
    <mergeCell ref="A564:H564"/>
    <mergeCell ref="A566:L566"/>
    <mergeCell ref="A568:L568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7"/>
  <sheetViews>
    <sheetView zoomScaleNormal="100" workbookViewId="0">
      <pane ySplit="6" topLeftCell="A7" activePane="bottomLeft" state="frozen"/>
      <selection activeCell="D20" sqref="D20"/>
      <selection pane="bottomLeft" activeCell="J75" sqref="J75"/>
    </sheetView>
  </sheetViews>
  <sheetFormatPr defaultColWidth="10.85546875" defaultRowHeight="10.5"/>
  <cols>
    <col min="1" max="1" width="8.28515625" style="1" customWidth="1"/>
    <col min="2" max="2" width="10.7109375" style="1" customWidth="1"/>
    <col min="3" max="3" width="12" style="1" customWidth="1"/>
    <col min="4" max="4" width="20.140625" style="1" customWidth="1"/>
    <col min="5" max="5" width="11.28515625" style="1" bestFit="1" customWidth="1"/>
    <col min="6" max="6" width="15" style="61" bestFit="1" customWidth="1"/>
    <col min="7" max="7" width="17.140625" style="30" customWidth="1"/>
    <col min="8" max="8" width="14" style="119" bestFit="1" customWidth="1"/>
    <col min="9" max="9" width="12.140625" style="1" bestFit="1" customWidth="1"/>
    <col min="10" max="10" width="12.28515625" style="136" customWidth="1"/>
    <col min="11" max="11" width="12.140625" style="1" bestFit="1" customWidth="1"/>
    <col min="12" max="12" width="15.28515625" style="61" bestFit="1" customWidth="1"/>
    <col min="13" max="13" width="12.85546875" style="166" bestFit="1" customWidth="1"/>
    <col min="14" max="14" width="11" style="1" bestFit="1" customWidth="1"/>
    <col min="15" max="16384" width="10.85546875" style="1"/>
  </cols>
  <sheetData>
    <row r="1" spans="1:20" s="6" customFormat="1">
      <c r="A1" s="53" t="s">
        <v>43</v>
      </c>
      <c r="B1" s="27"/>
      <c r="C1" s="7">
        <v>93925789</v>
      </c>
      <c r="D1" s="7"/>
      <c r="E1" s="7"/>
      <c r="F1" s="62"/>
      <c r="G1" s="36">
        <f>16800000+12000000+1000000+11000000+15000000</f>
        <v>55800000</v>
      </c>
      <c r="H1" s="115" t="s">
        <v>632</v>
      </c>
      <c r="I1" s="9"/>
      <c r="J1" s="132"/>
      <c r="K1" s="9"/>
      <c r="L1" s="62"/>
      <c r="M1" s="171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7</v>
      </c>
      <c r="B2" s="20"/>
      <c r="C2" s="22"/>
      <c r="D2" s="22"/>
      <c r="E2" s="22"/>
      <c r="F2" s="67"/>
      <c r="G2" s="34"/>
      <c r="H2" s="116"/>
      <c r="I2" s="23"/>
      <c r="J2" s="133"/>
      <c r="K2" s="23"/>
      <c r="L2" s="65"/>
      <c r="M2" s="172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34"/>
      <c r="H3" s="116"/>
      <c r="I3" s="23"/>
      <c r="J3" s="133"/>
      <c r="K3" s="23"/>
      <c r="L3" s="67"/>
      <c r="M3" s="173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65" t="s">
        <v>151</v>
      </c>
      <c r="G4" s="33" t="s">
        <v>30</v>
      </c>
      <c r="H4" s="117" t="s">
        <v>74</v>
      </c>
      <c r="I4" s="24" t="s">
        <v>218</v>
      </c>
      <c r="J4" s="134" t="s">
        <v>19</v>
      </c>
      <c r="K4" s="24" t="s">
        <v>252</v>
      </c>
      <c r="L4" s="65" t="s">
        <v>168</v>
      </c>
      <c r="M4" s="134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65" t="s">
        <v>259</v>
      </c>
      <c r="G5" s="33" t="s">
        <v>259</v>
      </c>
      <c r="H5" s="117" t="s">
        <v>34</v>
      </c>
      <c r="I5" s="24" t="s">
        <v>102</v>
      </c>
      <c r="J5" s="134" t="s">
        <v>259</v>
      </c>
      <c r="K5" s="24" t="s">
        <v>102</v>
      </c>
      <c r="L5" s="65" t="s">
        <v>259</v>
      </c>
      <c r="M5" s="134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64"/>
      <c r="G6" s="32"/>
      <c r="H6" s="118"/>
      <c r="I6" s="18"/>
      <c r="J6" s="135"/>
      <c r="K6" s="18"/>
      <c r="L6" s="64"/>
      <c r="M6" s="17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119</v>
      </c>
      <c r="B7" s="1"/>
      <c r="C7" s="1"/>
      <c r="D7" s="1"/>
      <c r="E7" s="1"/>
      <c r="F7" s="61"/>
      <c r="G7" s="30"/>
      <c r="H7" s="119"/>
      <c r="I7" s="3"/>
      <c r="J7" s="136"/>
      <c r="K7" s="3"/>
      <c r="L7" s="61"/>
      <c r="M7" s="166"/>
      <c r="N7" s="3"/>
    </row>
    <row r="9" spans="1:20" ht="12">
      <c r="A9" s="142">
        <v>2675</v>
      </c>
      <c r="B9" s="1" t="s">
        <v>633</v>
      </c>
      <c r="C9" s="152" t="s">
        <v>156</v>
      </c>
      <c r="D9" s="152" t="s">
        <v>360</v>
      </c>
      <c r="E9" s="152" t="s">
        <v>361</v>
      </c>
      <c r="F9" s="153">
        <v>13400000</v>
      </c>
      <c r="G9" s="153">
        <v>13400000</v>
      </c>
      <c r="H9" s="124">
        <v>36175</v>
      </c>
      <c r="I9" s="124">
        <f t="shared" ref="I9:I25" si="0">H9+35</f>
        <v>36210</v>
      </c>
      <c r="J9" s="136">
        <v>13400000</v>
      </c>
      <c r="K9" s="124">
        <f t="shared" ref="K9:K25" si="1">H9+120</f>
        <v>36295</v>
      </c>
      <c r="L9" s="56">
        <v>13400000</v>
      </c>
      <c r="M9" s="166">
        <f t="shared" ref="M9:M14" si="2">SUM(G9-L9)</f>
        <v>0</v>
      </c>
      <c r="N9" s="3">
        <v>36293</v>
      </c>
    </row>
    <row r="10" spans="1:20" ht="12">
      <c r="A10" s="142">
        <v>2683</v>
      </c>
      <c r="B10" s="1" t="s">
        <v>633</v>
      </c>
      <c r="C10" s="152" t="s">
        <v>156</v>
      </c>
      <c r="D10" s="152" t="s">
        <v>362</v>
      </c>
      <c r="E10" s="152" t="s">
        <v>363</v>
      </c>
      <c r="F10" s="153">
        <v>15000000</v>
      </c>
      <c r="G10" s="179">
        <v>15000000</v>
      </c>
      <c r="H10" s="124">
        <v>36183</v>
      </c>
      <c r="I10" s="124">
        <f t="shared" si="0"/>
        <v>36218</v>
      </c>
      <c r="J10" s="136">
        <v>15000000</v>
      </c>
      <c r="K10" s="124">
        <f t="shared" si="1"/>
        <v>36303</v>
      </c>
      <c r="L10" s="56">
        <v>15000000</v>
      </c>
      <c r="M10" s="166">
        <f t="shared" si="2"/>
        <v>0</v>
      </c>
      <c r="N10" s="3">
        <v>36307</v>
      </c>
    </row>
    <row r="11" spans="1:20" ht="12">
      <c r="A11" s="142">
        <v>2684</v>
      </c>
      <c r="B11" s="1" t="s">
        <v>621</v>
      </c>
      <c r="C11" s="152" t="s">
        <v>156</v>
      </c>
      <c r="D11" s="152" t="s">
        <v>364</v>
      </c>
      <c r="E11" s="152" t="s">
        <v>365</v>
      </c>
      <c r="F11" s="153">
        <v>15000000</v>
      </c>
      <c r="G11" s="179">
        <v>15000000</v>
      </c>
      <c r="H11" s="124">
        <v>36183</v>
      </c>
      <c r="I11" s="124">
        <f t="shared" si="0"/>
        <v>36218</v>
      </c>
      <c r="J11" s="136">
        <v>15000000</v>
      </c>
      <c r="K11" s="124">
        <f t="shared" si="1"/>
        <v>36303</v>
      </c>
      <c r="L11" s="56"/>
      <c r="M11" s="166">
        <f t="shared" si="2"/>
        <v>15000000</v>
      </c>
      <c r="N11" s="3">
        <v>36277</v>
      </c>
    </row>
    <row r="12" spans="1:20" ht="12">
      <c r="A12">
        <v>16</v>
      </c>
      <c r="B12" s="1" t="s">
        <v>621</v>
      </c>
      <c r="C12" s="142" t="s">
        <v>156</v>
      </c>
      <c r="D12" t="s">
        <v>366</v>
      </c>
      <c r="E12" t="s">
        <v>367</v>
      </c>
      <c r="F12" s="112">
        <v>13000000</v>
      </c>
      <c r="G12" s="146"/>
      <c r="H12" s="124">
        <v>36161</v>
      </c>
      <c r="I12" s="124">
        <f t="shared" si="0"/>
        <v>36196</v>
      </c>
      <c r="K12" s="124">
        <f t="shared" si="1"/>
        <v>36281</v>
      </c>
      <c r="L12" s="56"/>
      <c r="M12" s="166">
        <f t="shared" si="2"/>
        <v>0</v>
      </c>
    </row>
    <row r="13" spans="1:20" ht="12">
      <c r="A13" s="142">
        <v>2661</v>
      </c>
      <c r="B13" s="1" t="s">
        <v>621</v>
      </c>
      <c r="C13" s="152" t="s">
        <v>156</v>
      </c>
      <c r="D13" s="152" t="s">
        <v>368</v>
      </c>
      <c r="E13" s="152" t="s">
        <v>369</v>
      </c>
      <c r="F13" s="153">
        <v>15000000</v>
      </c>
      <c r="G13" s="179">
        <v>15000000</v>
      </c>
      <c r="H13" s="124">
        <v>36168</v>
      </c>
      <c r="I13" s="124">
        <f t="shared" si="0"/>
        <v>36203</v>
      </c>
      <c r="J13" s="136">
        <v>15000000</v>
      </c>
      <c r="K13" s="124">
        <f t="shared" si="1"/>
        <v>36288</v>
      </c>
      <c r="L13" s="56"/>
      <c r="M13" s="166">
        <f t="shared" si="2"/>
        <v>15000000</v>
      </c>
      <c r="N13" s="3">
        <v>36277</v>
      </c>
    </row>
    <row r="14" spans="1:20" s="198" customFormat="1" ht="12">
      <c r="A14" s="225">
        <v>2694</v>
      </c>
      <c r="B14" s="198" t="s">
        <v>621</v>
      </c>
      <c r="C14" s="226" t="s">
        <v>156</v>
      </c>
      <c r="D14" s="226" t="s">
        <v>370</v>
      </c>
      <c r="E14" s="226" t="s">
        <v>367</v>
      </c>
      <c r="F14" s="227">
        <v>12100000</v>
      </c>
      <c r="G14" s="201">
        <v>12100000</v>
      </c>
      <c r="H14" s="252">
        <v>36189</v>
      </c>
      <c r="I14" s="252">
        <f t="shared" si="0"/>
        <v>36224</v>
      </c>
      <c r="J14" s="207">
        <v>12100000</v>
      </c>
      <c r="K14" s="252">
        <f t="shared" si="1"/>
        <v>36309</v>
      </c>
      <c r="L14" s="228">
        <v>0</v>
      </c>
      <c r="M14" s="253">
        <f t="shared" si="2"/>
        <v>12100000</v>
      </c>
      <c r="N14" s="206">
        <v>36307</v>
      </c>
    </row>
    <row r="15" spans="1:20" ht="12">
      <c r="A15">
        <v>66</v>
      </c>
      <c r="B15" s="1" t="s">
        <v>621</v>
      </c>
      <c r="C15" s="142" t="s">
        <v>156</v>
      </c>
      <c r="D15" t="s">
        <v>371</v>
      </c>
      <c r="E15" t="s">
        <v>369</v>
      </c>
      <c r="F15" s="112">
        <v>14700000</v>
      </c>
      <c r="G15" s="146"/>
      <c r="H15" s="124">
        <v>36161</v>
      </c>
      <c r="I15" s="124">
        <f t="shared" si="0"/>
        <v>36196</v>
      </c>
      <c r="K15" s="124">
        <f t="shared" si="1"/>
        <v>36281</v>
      </c>
      <c r="L15" s="56"/>
    </row>
    <row r="16" spans="1:20" ht="12">
      <c r="A16" s="142">
        <v>2656</v>
      </c>
      <c r="B16" s="1" t="s">
        <v>633</v>
      </c>
      <c r="C16" s="152" t="s">
        <v>156</v>
      </c>
      <c r="D16" s="152" t="s">
        <v>372</v>
      </c>
      <c r="E16" s="152" t="s">
        <v>361</v>
      </c>
      <c r="F16" s="153">
        <v>11100000</v>
      </c>
      <c r="G16" s="179">
        <v>11100000</v>
      </c>
      <c r="H16" s="124">
        <v>36167</v>
      </c>
      <c r="I16" s="3">
        <f t="shared" si="0"/>
        <v>36202</v>
      </c>
      <c r="J16" s="136">
        <v>11100000</v>
      </c>
      <c r="K16" s="3">
        <f t="shared" si="1"/>
        <v>36287</v>
      </c>
      <c r="L16" s="166">
        <v>9450000</v>
      </c>
      <c r="M16" s="244">
        <f t="shared" ref="M16:M79" si="3">SUM(G16-L16)</f>
        <v>1650000</v>
      </c>
      <c r="N16" s="3">
        <v>36281</v>
      </c>
    </row>
    <row r="17" spans="1:14" ht="12">
      <c r="A17" s="142">
        <v>2701</v>
      </c>
      <c r="B17" s="1" t="s">
        <v>621</v>
      </c>
      <c r="C17" s="152" t="s">
        <v>156</v>
      </c>
      <c r="D17" s="152" t="s">
        <v>373</v>
      </c>
      <c r="E17" s="152" t="s">
        <v>361</v>
      </c>
      <c r="F17" s="153">
        <v>15000000</v>
      </c>
      <c r="G17" s="224">
        <v>15000000</v>
      </c>
      <c r="H17" s="124">
        <v>36190</v>
      </c>
      <c r="I17" s="3">
        <f t="shared" si="0"/>
        <v>36225</v>
      </c>
      <c r="K17" s="3">
        <f t="shared" si="1"/>
        <v>36310</v>
      </c>
      <c r="L17" s="56"/>
      <c r="M17" s="166">
        <f t="shared" si="3"/>
        <v>15000000</v>
      </c>
      <c r="N17" s="3"/>
    </row>
    <row r="18" spans="1:14" ht="12">
      <c r="A18" s="142">
        <v>2705</v>
      </c>
      <c r="B18" s="1" t="s">
        <v>621</v>
      </c>
      <c r="C18" s="152" t="s">
        <v>156</v>
      </c>
      <c r="D18" s="152" t="s">
        <v>374</v>
      </c>
      <c r="E18" s="152" t="s">
        <v>375</v>
      </c>
      <c r="F18" s="153">
        <v>15000000</v>
      </c>
      <c r="G18" s="224">
        <v>15000000</v>
      </c>
      <c r="H18" s="124">
        <v>36223</v>
      </c>
      <c r="I18" s="3">
        <f t="shared" si="0"/>
        <v>36258</v>
      </c>
      <c r="J18" s="136">
        <v>15000000</v>
      </c>
      <c r="K18" s="3">
        <f t="shared" si="1"/>
        <v>36343</v>
      </c>
      <c r="L18" s="56"/>
      <c r="M18" s="166">
        <f t="shared" si="3"/>
        <v>15000000</v>
      </c>
      <c r="N18" s="3">
        <v>36335</v>
      </c>
    </row>
    <row r="19" spans="1:14" ht="12">
      <c r="A19" s="142">
        <v>2706</v>
      </c>
      <c r="B19" s="1" t="s">
        <v>621</v>
      </c>
      <c r="C19" s="152" t="s">
        <v>156</v>
      </c>
      <c r="D19" s="152" t="s">
        <v>376</v>
      </c>
      <c r="E19" s="152" t="s">
        <v>353</v>
      </c>
      <c r="F19" s="153">
        <v>14000000</v>
      </c>
      <c r="G19" s="224">
        <v>14000000</v>
      </c>
      <c r="H19" s="124">
        <v>36223</v>
      </c>
      <c r="I19" s="3">
        <f t="shared" si="0"/>
        <v>36258</v>
      </c>
      <c r="J19" s="136">
        <v>11750000</v>
      </c>
      <c r="K19" s="3">
        <f t="shared" si="1"/>
        <v>36343</v>
      </c>
      <c r="L19" s="56">
        <v>0</v>
      </c>
      <c r="M19" s="166">
        <f t="shared" si="3"/>
        <v>14000000</v>
      </c>
      <c r="N19" s="3">
        <v>36340</v>
      </c>
    </row>
    <row r="20" spans="1:14" ht="12">
      <c r="A20" s="142">
        <v>2708</v>
      </c>
      <c r="B20" s="1" t="s">
        <v>621</v>
      </c>
      <c r="C20" s="152" t="s">
        <v>156</v>
      </c>
      <c r="D20" s="152" t="s">
        <v>377</v>
      </c>
      <c r="E20" s="152" t="s">
        <v>367</v>
      </c>
      <c r="F20" s="153">
        <v>15000000</v>
      </c>
      <c r="G20" s="224">
        <v>15000000</v>
      </c>
      <c r="H20" s="124">
        <v>36244</v>
      </c>
      <c r="I20" s="124">
        <f t="shared" si="0"/>
        <v>36279</v>
      </c>
      <c r="K20" s="124">
        <f t="shared" si="1"/>
        <v>36364</v>
      </c>
      <c r="L20" s="56"/>
      <c r="M20" s="166">
        <f t="shared" si="3"/>
        <v>15000000</v>
      </c>
      <c r="N20" s="3">
        <v>36277</v>
      </c>
    </row>
    <row r="21" spans="1:14" ht="12">
      <c r="A21" s="142">
        <v>2709</v>
      </c>
      <c r="B21" s="1" t="s">
        <v>633</v>
      </c>
      <c r="C21" s="152" t="s">
        <v>156</v>
      </c>
      <c r="D21" s="152" t="s">
        <v>378</v>
      </c>
      <c r="E21" s="152" t="s">
        <v>379</v>
      </c>
      <c r="F21" s="153">
        <v>10900000</v>
      </c>
      <c r="G21" s="30">
        <v>10900000</v>
      </c>
      <c r="H21" s="124">
        <v>36249</v>
      </c>
      <c r="I21" s="3">
        <f t="shared" si="0"/>
        <v>36284</v>
      </c>
      <c r="J21" s="136">
        <v>10900000</v>
      </c>
      <c r="K21" s="3">
        <f t="shared" si="1"/>
        <v>36369</v>
      </c>
      <c r="L21" s="56">
        <v>10900000</v>
      </c>
      <c r="M21" s="166">
        <f t="shared" si="3"/>
        <v>0</v>
      </c>
      <c r="N21" s="3">
        <v>36370</v>
      </c>
    </row>
    <row r="22" spans="1:14" ht="12">
      <c r="A22" s="142">
        <v>2711</v>
      </c>
      <c r="B22" s="1" t="s">
        <v>621</v>
      </c>
      <c r="C22" s="152" t="s">
        <v>156</v>
      </c>
      <c r="D22" s="152" t="s">
        <v>380</v>
      </c>
      <c r="E22" s="152" t="s">
        <v>381</v>
      </c>
      <c r="F22" s="153">
        <v>15000000</v>
      </c>
      <c r="G22" s="179">
        <v>15000000</v>
      </c>
      <c r="H22" s="124">
        <v>36258</v>
      </c>
      <c r="I22" s="124">
        <f t="shared" si="0"/>
        <v>36293</v>
      </c>
      <c r="J22" s="136">
        <v>15000000</v>
      </c>
      <c r="K22" s="124">
        <f t="shared" si="1"/>
        <v>36378</v>
      </c>
      <c r="L22" s="56"/>
      <c r="M22" s="166">
        <f t="shared" si="3"/>
        <v>15000000</v>
      </c>
      <c r="N22" s="3"/>
    </row>
    <row r="23" spans="1:14" ht="12">
      <c r="A23">
        <v>124</v>
      </c>
      <c r="B23" s="1" t="s">
        <v>621</v>
      </c>
      <c r="C23" s="142" t="s">
        <v>156</v>
      </c>
      <c r="D23" t="s">
        <v>382</v>
      </c>
      <c r="E23" t="s">
        <v>353</v>
      </c>
      <c r="F23" s="112">
        <v>14600000</v>
      </c>
      <c r="M23" s="166">
        <f t="shared" si="3"/>
        <v>0</v>
      </c>
    </row>
    <row r="24" spans="1:14" ht="12">
      <c r="A24" s="142">
        <v>2715</v>
      </c>
      <c r="B24" s="1" t="s">
        <v>633</v>
      </c>
      <c r="C24" s="152" t="s">
        <v>156</v>
      </c>
      <c r="D24" s="152" t="s">
        <v>383</v>
      </c>
      <c r="E24" s="152" t="s">
        <v>381</v>
      </c>
      <c r="F24" s="153">
        <v>12000000</v>
      </c>
      <c r="G24" s="179">
        <v>12000000</v>
      </c>
      <c r="H24" s="124">
        <v>36281</v>
      </c>
      <c r="I24" s="124">
        <f t="shared" si="0"/>
        <v>36316</v>
      </c>
      <c r="J24" s="136">
        <v>12000000</v>
      </c>
      <c r="K24" s="124">
        <f t="shared" si="1"/>
        <v>36401</v>
      </c>
      <c r="L24" s="56">
        <v>12000000</v>
      </c>
      <c r="M24" s="166">
        <f t="shared" si="3"/>
        <v>0</v>
      </c>
      <c r="N24" s="3">
        <v>36404</v>
      </c>
    </row>
    <row r="25" spans="1:14" ht="12">
      <c r="A25" s="142">
        <v>2716</v>
      </c>
      <c r="B25" s="1" t="s">
        <v>633</v>
      </c>
      <c r="C25" s="152" t="s">
        <v>156</v>
      </c>
      <c r="D25" s="152" t="s">
        <v>695</v>
      </c>
      <c r="E25" s="152" t="s">
        <v>365</v>
      </c>
      <c r="F25" s="153">
        <v>15000000</v>
      </c>
      <c r="G25" s="179">
        <v>15000000</v>
      </c>
      <c r="H25" s="124">
        <v>36281</v>
      </c>
      <c r="I25" s="124">
        <f t="shared" si="0"/>
        <v>36316</v>
      </c>
      <c r="J25" s="136">
        <v>15000000</v>
      </c>
      <c r="K25" s="124">
        <f t="shared" si="1"/>
        <v>36401</v>
      </c>
      <c r="L25" s="56">
        <v>15000000</v>
      </c>
      <c r="M25" s="166">
        <f t="shared" si="3"/>
        <v>0</v>
      </c>
      <c r="N25" s="3">
        <v>36400</v>
      </c>
    </row>
    <row r="26" spans="1:14" ht="12">
      <c r="A26">
        <v>160</v>
      </c>
      <c r="B26" s="1" t="s">
        <v>621</v>
      </c>
      <c r="C26" s="142" t="s">
        <v>156</v>
      </c>
      <c r="D26" t="s">
        <v>384</v>
      </c>
      <c r="E26" t="s">
        <v>385</v>
      </c>
      <c r="F26" s="112">
        <v>15000000</v>
      </c>
      <c r="I26" s="3"/>
      <c r="K26" s="3"/>
      <c r="L26" s="56"/>
      <c r="M26" s="166">
        <f t="shared" si="3"/>
        <v>0</v>
      </c>
      <c r="N26" s="3"/>
    </row>
    <row r="27" spans="1:14" ht="12">
      <c r="A27">
        <v>166</v>
      </c>
      <c r="B27" s="1" t="s">
        <v>621</v>
      </c>
      <c r="C27" s="142" t="s">
        <v>156</v>
      </c>
      <c r="D27" t="s">
        <v>386</v>
      </c>
      <c r="E27" t="s">
        <v>367</v>
      </c>
      <c r="F27" s="112">
        <v>15000000</v>
      </c>
      <c r="H27" s="124"/>
      <c r="I27" s="124"/>
      <c r="K27" s="124"/>
      <c r="L27" s="56"/>
      <c r="M27" s="166">
        <f t="shared" si="3"/>
        <v>0</v>
      </c>
      <c r="N27" s="3"/>
    </row>
    <row r="28" spans="1:14" ht="12">
      <c r="A28" s="142">
        <v>2719</v>
      </c>
      <c r="B28" s="1" t="s">
        <v>633</v>
      </c>
      <c r="C28" s="152" t="s">
        <v>156</v>
      </c>
      <c r="D28" s="152" t="s">
        <v>387</v>
      </c>
      <c r="E28" s="152" t="s">
        <v>365</v>
      </c>
      <c r="F28" s="153">
        <v>11000000</v>
      </c>
      <c r="G28" s="30">
        <v>11000000</v>
      </c>
      <c r="H28" s="124">
        <v>36288</v>
      </c>
      <c r="I28" s="124">
        <f>H28+35</f>
        <v>36323</v>
      </c>
      <c r="J28" s="136">
        <v>11000000</v>
      </c>
      <c r="K28" s="124">
        <f>H28+120</f>
        <v>36408</v>
      </c>
      <c r="L28" s="56">
        <v>11000000</v>
      </c>
      <c r="M28" s="166">
        <f t="shared" si="3"/>
        <v>0</v>
      </c>
      <c r="N28" s="3">
        <v>36404</v>
      </c>
    </row>
    <row r="29" spans="1:14" ht="12">
      <c r="A29">
        <v>201</v>
      </c>
      <c r="B29" s="1" t="s">
        <v>621</v>
      </c>
      <c r="C29" s="142" t="s">
        <v>156</v>
      </c>
      <c r="D29" t="s">
        <v>388</v>
      </c>
      <c r="E29" t="s">
        <v>367</v>
      </c>
      <c r="F29" s="112">
        <v>14000000</v>
      </c>
      <c r="H29" s="124"/>
      <c r="I29" s="212"/>
      <c r="J29" s="30"/>
      <c r="K29" s="212"/>
      <c r="L29" s="56"/>
      <c r="M29" s="166">
        <f t="shared" si="3"/>
        <v>0</v>
      </c>
      <c r="N29" s="3">
        <v>36312</v>
      </c>
    </row>
    <row r="30" spans="1:14" ht="11.25" customHeight="1">
      <c r="A30" s="142">
        <v>2730</v>
      </c>
      <c r="B30" s="1" t="s">
        <v>627</v>
      </c>
      <c r="C30" s="152" t="s">
        <v>156</v>
      </c>
      <c r="D30" s="152" t="s">
        <v>389</v>
      </c>
      <c r="E30" s="152" t="s">
        <v>361</v>
      </c>
      <c r="F30" s="153">
        <v>14000000</v>
      </c>
      <c r="G30" s="30">
        <v>14000000</v>
      </c>
      <c r="H30" s="124">
        <v>36315</v>
      </c>
      <c r="I30" s="124">
        <f>H30+35</f>
        <v>36350</v>
      </c>
      <c r="K30" s="124">
        <f>H30+120</f>
        <v>36435</v>
      </c>
      <c r="L30" s="56"/>
      <c r="M30" s="166">
        <f t="shared" si="3"/>
        <v>14000000</v>
      </c>
      <c r="N30" s="3">
        <v>36351</v>
      </c>
    </row>
    <row r="31" spans="1:14" ht="12">
      <c r="A31">
        <v>216</v>
      </c>
      <c r="B31" s="1" t="s">
        <v>621</v>
      </c>
      <c r="C31" s="142" t="s">
        <v>156</v>
      </c>
      <c r="D31" t="s">
        <v>390</v>
      </c>
      <c r="E31" t="s">
        <v>367</v>
      </c>
      <c r="F31" s="112">
        <v>14400000</v>
      </c>
      <c r="G31" s="143"/>
      <c r="H31" s="124"/>
      <c r="I31" s="124"/>
      <c r="K31" s="124"/>
      <c r="L31" s="56"/>
      <c r="M31" s="166">
        <f t="shared" si="3"/>
        <v>0</v>
      </c>
      <c r="N31" s="3"/>
    </row>
    <row r="32" spans="1:14" ht="12">
      <c r="A32">
        <v>223</v>
      </c>
      <c r="B32" s="1" t="s">
        <v>621</v>
      </c>
      <c r="C32" s="142" t="s">
        <v>156</v>
      </c>
      <c r="D32" t="s">
        <v>391</v>
      </c>
      <c r="E32" t="s">
        <v>367</v>
      </c>
      <c r="F32" s="112">
        <v>15000000</v>
      </c>
      <c r="H32" s="124">
        <v>36403</v>
      </c>
      <c r="I32" s="3"/>
      <c r="K32" s="124"/>
      <c r="L32" s="56"/>
      <c r="M32" s="166">
        <f t="shared" si="3"/>
        <v>0</v>
      </c>
      <c r="N32" s="3"/>
    </row>
    <row r="33" spans="1:17" ht="12">
      <c r="A33">
        <v>226</v>
      </c>
      <c r="B33" s="1" t="s">
        <v>621</v>
      </c>
      <c r="C33" s="142" t="s">
        <v>156</v>
      </c>
      <c r="D33" t="s">
        <v>392</v>
      </c>
      <c r="E33" t="s">
        <v>361</v>
      </c>
      <c r="F33" s="112">
        <v>13400000</v>
      </c>
      <c r="I33" s="3"/>
      <c r="K33" s="212"/>
      <c r="L33" s="56"/>
      <c r="M33" s="166">
        <f t="shared" si="3"/>
        <v>0</v>
      </c>
      <c r="N33" s="3"/>
    </row>
    <row r="34" spans="1:17" ht="12">
      <c r="A34">
        <v>238</v>
      </c>
      <c r="B34" s="1" t="s">
        <v>621</v>
      </c>
      <c r="C34" s="142" t="s">
        <v>156</v>
      </c>
      <c r="D34" t="s">
        <v>393</v>
      </c>
      <c r="E34" t="s">
        <v>365</v>
      </c>
      <c r="F34" s="112">
        <v>15000000</v>
      </c>
      <c r="I34" s="3"/>
      <c r="K34" s="3"/>
      <c r="L34" s="56"/>
      <c r="M34" s="166">
        <f t="shared" si="3"/>
        <v>0</v>
      </c>
    </row>
    <row r="35" spans="1:17" ht="12">
      <c r="A35" s="142">
        <v>2736</v>
      </c>
      <c r="B35" s="1" t="s">
        <v>633</v>
      </c>
      <c r="C35" s="152" t="s">
        <v>156</v>
      </c>
      <c r="D35" s="152" t="s">
        <v>117</v>
      </c>
      <c r="E35" s="152" t="s">
        <v>394</v>
      </c>
      <c r="F35" s="153">
        <v>15000000</v>
      </c>
      <c r="G35" s="153">
        <v>15000000</v>
      </c>
      <c r="H35" s="124">
        <v>36347</v>
      </c>
      <c r="I35" s="124">
        <f>H35+35</f>
        <v>36382</v>
      </c>
      <c r="J35" s="153">
        <v>15000000</v>
      </c>
      <c r="K35" s="124">
        <f>H35+120</f>
        <v>36467</v>
      </c>
      <c r="L35" s="56">
        <v>15000000</v>
      </c>
      <c r="M35" s="166">
        <f t="shared" si="3"/>
        <v>0</v>
      </c>
      <c r="N35" s="3">
        <v>36469</v>
      </c>
    </row>
    <row r="36" spans="1:17" ht="12">
      <c r="A36" s="142">
        <v>2737</v>
      </c>
      <c r="B36" s="1" t="s">
        <v>621</v>
      </c>
      <c r="C36" s="152" t="s">
        <v>156</v>
      </c>
      <c r="D36" s="152" t="s">
        <v>395</v>
      </c>
      <c r="E36" s="152" t="s">
        <v>396</v>
      </c>
      <c r="F36" s="153">
        <v>8200000</v>
      </c>
      <c r="G36" s="153">
        <v>8200000</v>
      </c>
      <c r="H36" s="124">
        <v>36347</v>
      </c>
      <c r="I36" s="124">
        <f>H36+35</f>
        <v>36382</v>
      </c>
      <c r="J36" s="153">
        <v>8200000</v>
      </c>
      <c r="K36" s="124">
        <f>H36+120</f>
        <v>36467</v>
      </c>
      <c r="L36" s="56"/>
      <c r="M36" s="166">
        <f t="shared" si="3"/>
        <v>8200000</v>
      </c>
    </row>
    <row r="37" spans="1:17" ht="12">
      <c r="A37">
        <v>256</v>
      </c>
      <c r="B37" s="1" t="s">
        <v>621</v>
      </c>
      <c r="C37" s="142" t="s">
        <v>156</v>
      </c>
      <c r="D37" t="s">
        <v>397</v>
      </c>
      <c r="E37" t="s">
        <v>365</v>
      </c>
      <c r="F37" s="112">
        <v>15000000</v>
      </c>
      <c r="I37" s="3"/>
      <c r="K37" s="3"/>
      <c r="L37" s="56"/>
      <c r="M37" s="166">
        <f t="shared" si="3"/>
        <v>0</v>
      </c>
    </row>
    <row r="38" spans="1:17" ht="12.75" customHeight="1">
      <c r="A38">
        <v>263</v>
      </c>
      <c r="B38" s="1" t="s">
        <v>627</v>
      </c>
      <c r="C38" s="152" t="s">
        <v>156</v>
      </c>
      <c r="D38" t="s">
        <v>398</v>
      </c>
      <c r="E38" t="s">
        <v>361</v>
      </c>
      <c r="F38" s="112">
        <v>14800000</v>
      </c>
      <c r="G38" s="153"/>
      <c r="H38" s="124"/>
      <c r="I38" s="3"/>
      <c r="J38" s="153"/>
      <c r="K38" s="3"/>
      <c r="L38" s="56"/>
      <c r="M38" s="153">
        <f t="shared" si="3"/>
        <v>0</v>
      </c>
      <c r="N38" s="3"/>
    </row>
    <row r="39" spans="1:17" ht="12">
      <c r="A39" s="142">
        <v>2739</v>
      </c>
      <c r="B39" s="1" t="s">
        <v>621</v>
      </c>
      <c r="C39" s="152" t="s">
        <v>156</v>
      </c>
      <c r="D39" s="152" t="s">
        <v>399</v>
      </c>
      <c r="E39" s="152" t="s">
        <v>381</v>
      </c>
      <c r="F39" s="153">
        <v>15000000</v>
      </c>
      <c r="G39" s="153">
        <v>15000000</v>
      </c>
      <c r="H39" s="124">
        <v>36356</v>
      </c>
      <c r="I39" s="124">
        <f>H39+35</f>
        <v>36391</v>
      </c>
      <c r="J39" s="153">
        <v>15000000</v>
      </c>
      <c r="K39" s="124">
        <f>H39+120</f>
        <v>36476</v>
      </c>
      <c r="L39" s="56"/>
      <c r="M39" s="166">
        <f t="shared" si="3"/>
        <v>15000000</v>
      </c>
      <c r="N39" s="3"/>
    </row>
    <row r="40" spans="1:17" ht="12">
      <c r="A40" s="142">
        <v>2741</v>
      </c>
      <c r="B40" s="1" t="s">
        <v>621</v>
      </c>
      <c r="C40" s="152" t="s">
        <v>156</v>
      </c>
      <c r="D40" s="152" t="s">
        <v>400</v>
      </c>
      <c r="E40" s="152" t="s">
        <v>381</v>
      </c>
      <c r="F40" s="153">
        <v>11000000</v>
      </c>
      <c r="G40" s="153">
        <v>11000000</v>
      </c>
      <c r="H40" s="124">
        <v>36358</v>
      </c>
      <c r="I40" s="124">
        <f>H40+35</f>
        <v>36393</v>
      </c>
      <c r="J40" s="136">
        <v>15000000</v>
      </c>
      <c r="K40" s="124">
        <f>H40+120</f>
        <v>36478</v>
      </c>
      <c r="L40" s="56"/>
      <c r="M40" s="166">
        <f t="shared" si="3"/>
        <v>11000000</v>
      </c>
      <c r="N40" s="3"/>
    </row>
    <row r="41" spans="1:17" ht="12">
      <c r="A41" s="142">
        <v>2742</v>
      </c>
      <c r="B41" s="1" t="s">
        <v>621</v>
      </c>
      <c r="C41" s="152" t="s">
        <v>156</v>
      </c>
      <c r="D41" s="152" t="s">
        <v>401</v>
      </c>
      <c r="E41" s="152" t="s">
        <v>381</v>
      </c>
      <c r="F41" s="153">
        <v>12000000</v>
      </c>
      <c r="G41" s="30">
        <v>12000000</v>
      </c>
      <c r="H41" s="124">
        <v>36358</v>
      </c>
      <c r="I41" s="124">
        <f>H41+35</f>
        <v>36393</v>
      </c>
      <c r="K41" s="124">
        <f>H41+120</f>
        <v>36478</v>
      </c>
      <c r="L41" s="56"/>
      <c r="M41" s="166">
        <f t="shared" si="3"/>
        <v>12000000</v>
      </c>
      <c r="N41" s="3">
        <v>36393</v>
      </c>
    </row>
    <row r="42" spans="1:17" ht="12">
      <c r="A42" s="152"/>
      <c r="C42" s="152"/>
      <c r="D42" s="152"/>
      <c r="E42" s="152"/>
      <c r="F42" s="153"/>
      <c r="H42" s="124"/>
      <c r="I42" s="3"/>
      <c r="K42" s="3"/>
      <c r="L42" s="56"/>
      <c r="M42" s="166">
        <f t="shared" si="3"/>
        <v>0</v>
      </c>
      <c r="N42" s="3"/>
    </row>
    <row r="43" spans="1:17" ht="12">
      <c r="A43" s="130" t="s">
        <v>3</v>
      </c>
      <c r="C43" s="152"/>
      <c r="D43" s="152"/>
      <c r="E43" s="152"/>
      <c r="F43" s="153"/>
      <c r="I43" s="3"/>
      <c r="K43" s="3"/>
      <c r="L43" s="56"/>
      <c r="M43" s="166">
        <f t="shared" si="3"/>
        <v>0</v>
      </c>
    </row>
    <row r="44" spans="1:17" ht="12">
      <c r="A44"/>
      <c r="C44"/>
      <c r="D44"/>
      <c r="E44"/>
      <c r="F44" s="112"/>
      <c r="G44" s="31"/>
      <c r="I44" s="3"/>
      <c r="K44" s="3"/>
      <c r="L44" s="56"/>
      <c r="M44" s="166">
        <f t="shared" si="3"/>
        <v>0</v>
      </c>
    </row>
    <row r="45" spans="1:17" s="26" customFormat="1" ht="12">
      <c r="A45">
        <v>10</v>
      </c>
      <c r="B45" s="1" t="s">
        <v>621</v>
      </c>
      <c r="C45" t="s">
        <v>156</v>
      </c>
      <c r="D45" t="s">
        <v>402</v>
      </c>
      <c r="E45" t="s">
        <v>367</v>
      </c>
      <c r="F45" s="112">
        <v>14000000</v>
      </c>
      <c r="G45" s="169"/>
      <c r="H45" s="119"/>
      <c r="I45" s="3"/>
      <c r="J45" s="136"/>
      <c r="K45" s="3"/>
      <c r="L45" s="56"/>
      <c r="M45" s="166">
        <f t="shared" si="3"/>
        <v>0</v>
      </c>
      <c r="N45" s="24"/>
      <c r="O45" s="5"/>
      <c r="P45" s="5"/>
      <c r="Q45" s="5"/>
    </row>
    <row r="46" spans="1:17" ht="12">
      <c r="A46" s="142">
        <v>2767</v>
      </c>
      <c r="B46" s="1" t="s">
        <v>621</v>
      </c>
      <c r="C46" s="152" t="s">
        <v>156</v>
      </c>
      <c r="D46" s="152" t="s">
        <v>403</v>
      </c>
      <c r="E46" s="152" t="s">
        <v>349</v>
      </c>
      <c r="F46" s="153">
        <v>14700000</v>
      </c>
      <c r="G46" s="30">
        <v>14700000</v>
      </c>
      <c r="H46" s="124">
        <v>36405</v>
      </c>
      <c r="I46" s="124">
        <f>H46+35</f>
        <v>36440</v>
      </c>
      <c r="K46" s="124">
        <f>H46+120</f>
        <v>36525</v>
      </c>
      <c r="L46" s="56"/>
      <c r="M46" s="166">
        <f t="shared" si="3"/>
        <v>14700000</v>
      </c>
      <c r="N46" s="3"/>
    </row>
    <row r="47" spans="1:17" ht="12">
      <c r="A47">
        <v>18</v>
      </c>
      <c r="B47" s="1" t="s">
        <v>621</v>
      </c>
      <c r="C47" t="s">
        <v>156</v>
      </c>
      <c r="D47" t="s">
        <v>404</v>
      </c>
      <c r="E47"/>
      <c r="F47" s="112">
        <v>15000000</v>
      </c>
      <c r="I47" s="3"/>
      <c r="K47" s="3"/>
      <c r="L47" s="56"/>
      <c r="M47" s="166">
        <f t="shared" si="3"/>
        <v>0</v>
      </c>
      <c r="N47" s="3"/>
    </row>
    <row r="48" spans="1:17" ht="12">
      <c r="A48" s="142">
        <v>2768</v>
      </c>
      <c r="B48" s="1" t="s">
        <v>621</v>
      </c>
      <c r="C48" s="152" t="s">
        <v>156</v>
      </c>
      <c r="D48" s="152" t="s">
        <v>405</v>
      </c>
      <c r="E48" s="152" t="s">
        <v>381</v>
      </c>
      <c r="F48" s="153">
        <v>13100000</v>
      </c>
      <c r="G48" s="30">
        <v>13100000</v>
      </c>
      <c r="H48" s="124">
        <v>36406</v>
      </c>
      <c r="I48" s="124">
        <f>H48+35</f>
        <v>36441</v>
      </c>
      <c r="K48" s="124">
        <f>H48+120</f>
        <v>36526</v>
      </c>
      <c r="L48" s="56"/>
      <c r="M48" s="166">
        <f t="shared" si="3"/>
        <v>13100000</v>
      </c>
      <c r="N48" s="3"/>
    </row>
    <row r="49" spans="1:14" ht="12">
      <c r="A49">
        <v>31</v>
      </c>
      <c r="B49" s="1" t="s">
        <v>621</v>
      </c>
      <c r="C49" t="s">
        <v>156</v>
      </c>
      <c r="D49" t="s">
        <v>406</v>
      </c>
      <c r="E49" t="s">
        <v>381</v>
      </c>
      <c r="F49" s="112">
        <v>14200000</v>
      </c>
      <c r="I49" s="3"/>
      <c r="K49" s="3"/>
      <c r="L49" s="56"/>
      <c r="M49" s="166">
        <f t="shared" si="3"/>
        <v>0</v>
      </c>
      <c r="N49" s="3"/>
    </row>
    <row r="50" spans="1:14" ht="12">
      <c r="A50" s="142">
        <v>2770</v>
      </c>
      <c r="B50" s="1" t="s">
        <v>633</v>
      </c>
      <c r="C50" s="152" t="s">
        <v>156</v>
      </c>
      <c r="D50" s="152" t="s">
        <v>407</v>
      </c>
      <c r="E50" s="152" t="s">
        <v>394</v>
      </c>
      <c r="F50" s="153">
        <v>15000000</v>
      </c>
      <c r="G50" s="30">
        <v>15000000</v>
      </c>
      <c r="H50" s="124">
        <v>36407</v>
      </c>
      <c r="I50" s="124">
        <f>H50+35</f>
        <v>36442</v>
      </c>
      <c r="J50" s="136">
        <v>15000000</v>
      </c>
      <c r="K50" s="124">
        <f>H50+120</f>
        <v>36527</v>
      </c>
      <c r="L50" s="56">
        <v>15000000</v>
      </c>
      <c r="M50" s="166">
        <f t="shared" si="3"/>
        <v>0</v>
      </c>
      <c r="N50" s="3">
        <v>36526</v>
      </c>
    </row>
    <row r="51" spans="1:14" ht="12">
      <c r="A51" s="142">
        <v>2772</v>
      </c>
      <c r="B51" s="1" t="s">
        <v>633</v>
      </c>
      <c r="C51" s="152" t="s">
        <v>156</v>
      </c>
      <c r="D51" s="152" t="s">
        <v>408</v>
      </c>
      <c r="E51" s="152" t="s">
        <v>381</v>
      </c>
      <c r="F51" s="153">
        <v>7000000</v>
      </c>
      <c r="G51" s="30">
        <v>7000000</v>
      </c>
      <c r="H51" s="124">
        <v>36410</v>
      </c>
      <c r="I51" s="124">
        <f>H51+35</f>
        <v>36445</v>
      </c>
      <c r="J51" s="136">
        <v>7000000</v>
      </c>
      <c r="K51" s="124">
        <f>H51+120</f>
        <v>36530</v>
      </c>
      <c r="L51" s="56">
        <v>7000000</v>
      </c>
      <c r="M51" s="166">
        <f t="shared" si="3"/>
        <v>0</v>
      </c>
      <c r="N51" s="3">
        <v>36532</v>
      </c>
    </row>
    <row r="52" spans="1:14" ht="12">
      <c r="A52">
        <v>41</v>
      </c>
      <c r="B52" s="1" t="s">
        <v>627</v>
      </c>
      <c r="C52" t="s">
        <v>156</v>
      </c>
      <c r="D52" t="s">
        <v>409</v>
      </c>
      <c r="E52" t="s">
        <v>381</v>
      </c>
      <c r="F52" s="112">
        <v>15000000</v>
      </c>
      <c r="I52" s="3"/>
      <c r="K52" s="3"/>
      <c r="L52" s="56"/>
      <c r="M52" s="166">
        <f t="shared" si="3"/>
        <v>0</v>
      </c>
    </row>
    <row r="53" spans="1:14" ht="12">
      <c r="A53">
        <v>46</v>
      </c>
      <c r="B53" s="1" t="s">
        <v>627</v>
      </c>
      <c r="C53" t="s">
        <v>156</v>
      </c>
      <c r="D53" t="s">
        <v>410</v>
      </c>
      <c r="E53" t="s">
        <v>367</v>
      </c>
      <c r="F53" s="112">
        <v>15000000</v>
      </c>
      <c r="I53" s="3"/>
      <c r="K53" s="3"/>
      <c r="L53" s="56"/>
      <c r="M53" s="166">
        <f t="shared" si="3"/>
        <v>0</v>
      </c>
    </row>
    <row r="54" spans="1:14" ht="12">
      <c r="A54" s="142">
        <v>2773</v>
      </c>
      <c r="B54" s="1" t="s">
        <v>621</v>
      </c>
      <c r="C54" s="152" t="s">
        <v>156</v>
      </c>
      <c r="D54" s="152" t="s">
        <v>411</v>
      </c>
      <c r="E54" s="152" t="s">
        <v>353</v>
      </c>
      <c r="F54" s="153">
        <v>15000000</v>
      </c>
      <c r="G54" s="30">
        <v>15000000</v>
      </c>
      <c r="H54" s="124">
        <v>36414</v>
      </c>
      <c r="I54" s="124">
        <f>H54+35</f>
        <v>36449</v>
      </c>
      <c r="K54" s="124">
        <f>H54+120</f>
        <v>36534</v>
      </c>
      <c r="L54" s="56"/>
      <c r="M54" s="166">
        <f t="shared" si="3"/>
        <v>15000000</v>
      </c>
      <c r="N54" s="3">
        <v>36449</v>
      </c>
    </row>
    <row r="55" spans="1:14" ht="12">
      <c r="A55" s="142">
        <v>2775</v>
      </c>
      <c r="B55" s="1" t="s">
        <v>633</v>
      </c>
      <c r="C55" s="152" t="s">
        <v>156</v>
      </c>
      <c r="D55" s="152" t="s">
        <v>412</v>
      </c>
      <c r="E55" s="152" t="s">
        <v>353</v>
      </c>
      <c r="F55" s="153">
        <v>15000000</v>
      </c>
      <c r="G55" s="30">
        <v>15000000</v>
      </c>
      <c r="H55" s="124">
        <v>36418</v>
      </c>
      <c r="I55" s="124">
        <f>H55+35</f>
        <v>36453</v>
      </c>
      <c r="J55" s="136">
        <v>15000000</v>
      </c>
      <c r="K55" s="124">
        <f>H55+120</f>
        <v>36538</v>
      </c>
      <c r="L55" s="56">
        <v>13000000</v>
      </c>
      <c r="M55" s="166">
        <f t="shared" si="3"/>
        <v>2000000</v>
      </c>
      <c r="N55" s="3">
        <v>36540</v>
      </c>
    </row>
    <row r="56" spans="1:14" ht="12">
      <c r="A56" s="142">
        <v>2776</v>
      </c>
      <c r="B56" s="1" t="s">
        <v>621</v>
      </c>
      <c r="C56" s="152" t="s">
        <v>156</v>
      </c>
      <c r="D56" s="152" t="s">
        <v>413</v>
      </c>
      <c r="E56" s="152" t="s">
        <v>414</v>
      </c>
      <c r="F56" s="153">
        <v>13300000</v>
      </c>
      <c r="G56" s="30">
        <v>13300000</v>
      </c>
      <c r="H56" s="124">
        <v>36419</v>
      </c>
      <c r="I56" s="124">
        <f>H56+35</f>
        <v>36454</v>
      </c>
      <c r="J56" s="136">
        <v>13300000</v>
      </c>
      <c r="K56" s="124">
        <f>H56+120</f>
        <v>36539</v>
      </c>
      <c r="L56" s="56"/>
      <c r="M56" s="166">
        <f t="shared" si="3"/>
        <v>13300000</v>
      </c>
      <c r="N56" s="3">
        <v>36529</v>
      </c>
    </row>
    <row r="57" spans="1:14" ht="12">
      <c r="A57" s="142">
        <v>2777</v>
      </c>
      <c r="B57" s="1" t="s">
        <v>633</v>
      </c>
      <c r="C57" s="152" t="s">
        <v>156</v>
      </c>
      <c r="D57" s="152" t="s">
        <v>415</v>
      </c>
      <c r="E57" s="152" t="s">
        <v>394</v>
      </c>
      <c r="F57" s="153">
        <v>15000000</v>
      </c>
      <c r="G57" s="30">
        <v>15000000</v>
      </c>
      <c r="H57" s="124">
        <v>36425</v>
      </c>
      <c r="I57" s="124">
        <f>H57+35</f>
        <v>36460</v>
      </c>
      <c r="J57" s="136">
        <v>15000000</v>
      </c>
      <c r="K57" s="124">
        <f>H57+120</f>
        <v>36545</v>
      </c>
      <c r="L57" s="56">
        <v>14000000</v>
      </c>
      <c r="M57" s="166">
        <f t="shared" si="3"/>
        <v>1000000</v>
      </c>
      <c r="N57" s="3">
        <v>36546</v>
      </c>
    </row>
    <row r="58" spans="1:14" ht="12">
      <c r="A58" s="142">
        <v>2778</v>
      </c>
      <c r="B58" s="1" t="s">
        <v>633</v>
      </c>
      <c r="C58" s="152" t="s">
        <v>156</v>
      </c>
      <c r="D58" s="152" t="s">
        <v>725</v>
      </c>
      <c r="E58" s="152" t="s">
        <v>381</v>
      </c>
      <c r="F58" s="153">
        <v>15000000</v>
      </c>
      <c r="G58" s="30">
        <v>15000000</v>
      </c>
      <c r="H58" s="124">
        <v>36431</v>
      </c>
      <c r="I58" s="3">
        <f>H58+35</f>
        <v>36466</v>
      </c>
      <c r="J58" s="136">
        <v>15000000</v>
      </c>
      <c r="K58" s="3">
        <f>H58+120</f>
        <v>36551</v>
      </c>
      <c r="L58" s="56">
        <v>15000000</v>
      </c>
      <c r="M58" s="166">
        <f t="shared" si="3"/>
        <v>0</v>
      </c>
      <c r="N58" s="3">
        <v>36553</v>
      </c>
    </row>
    <row r="59" spans="1:14" ht="12">
      <c r="A59">
        <v>85</v>
      </c>
      <c r="B59" s="1" t="s">
        <v>621</v>
      </c>
      <c r="C59" t="s">
        <v>156</v>
      </c>
      <c r="D59" t="s">
        <v>416</v>
      </c>
      <c r="E59" t="s">
        <v>367</v>
      </c>
      <c r="F59" s="112">
        <v>12200000</v>
      </c>
      <c r="G59" s="31"/>
      <c r="I59" s="3"/>
      <c r="K59" s="3"/>
      <c r="L59" s="56"/>
      <c r="M59" s="166">
        <f t="shared" si="3"/>
        <v>0</v>
      </c>
    </row>
    <row r="60" spans="1:14" ht="12">
      <c r="A60">
        <v>88</v>
      </c>
      <c r="B60" s="1" t="s">
        <v>621</v>
      </c>
      <c r="C60" t="s">
        <v>156</v>
      </c>
      <c r="D60" t="s">
        <v>417</v>
      </c>
      <c r="E60" t="s">
        <v>367</v>
      </c>
      <c r="F60" s="112">
        <v>12200000</v>
      </c>
      <c r="G60" s="31"/>
      <c r="I60" s="3"/>
      <c r="K60" s="3"/>
      <c r="L60" s="56"/>
      <c r="M60" s="166">
        <f t="shared" si="3"/>
        <v>0</v>
      </c>
    </row>
    <row r="61" spans="1:14" ht="12">
      <c r="A61" s="142">
        <v>2779</v>
      </c>
      <c r="B61" s="1" t="s">
        <v>633</v>
      </c>
      <c r="C61" s="152" t="s">
        <v>156</v>
      </c>
      <c r="D61" s="152" t="s">
        <v>707</v>
      </c>
      <c r="E61" s="152" t="s">
        <v>394</v>
      </c>
      <c r="F61" s="153">
        <v>10000000</v>
      </c>
      <c r="G61" s="30">
        <v>10000000</v>
      </c>
      <c r="H61" s="124">
        <v>36438</v>
      </c>
      <c r="I61" s="3">
        <f>H61+35</f>
        <v>36473</v>
      </c>
      <c r="J61" s="136">
        <v>10000000</v>
      </c>
      <c r="K61" s="3">
        <f>H61+120</f>
        <v>36558</v>
      </c>
      <c r="L61" s="56">
        <v>10000000</v>
      </c>
      <c r="M61" s="166">
        <f t="shared" si="3"/>
        <v>0</v>
      </c>
      <c r="N61" s="3">
        <v>36560</v>
      </c>
    </row>
    <row r="62" spans="1:14" ht="12">
      <c r="A62">
        <v>92</v>
      </c>
      <c r="B62" s="1" t="s">
        <v>621</v>
      </c>
      <c r="C62" t="s">
        <v>156</v>
      </c>
      <c r="D62" t="s">
        <v>418</v>
      </c>
      <c r="E62" t="s">
        <v>381</v>
      </c>
      <c r="F62" s="112">
        <v>13100000</v>
      </c>
      <c r="I62" s="3"/>
      <c r="K62" s="3"/>
      <c r="L62" s="56"/>
      <c r="M62" s="166">
        <f t="shared" si="3"/>
        <v>0</v>
      </c>
      <c r="N62" s="3"/>
    </row>
    <row r="63" spans="1:14" ht="12">
      <c r="A63">
        <v>95</v>
      </c>
      <c r="B63" s="1" t="s">
        <v>627</v>
      </c>
      <c r="C63" t="s">
        <v>156</v>
      </c>
      <c r="D63" t="s">
        <v>419</v>
      </c>
      <c r="E63"/>
      <c r="F63" s="112">
        <v>15000000</v>
      </c>
      <c r="I63" s="3"/>
      <c r="K63" s="3"/>
      <c r="L63" s="56"/>
      <c r="M63" s="166">
        <f t="shared" si="3"/>
        <v>0</v>
      </c>
    </row>
    <row r="64" spans="1:14" ht="12">
      <c r="A64">
        <v>96</v>
      </c>
      <c r="B64" s="1" t="s">
        <v>627</v>
      </c>
      <c r="C64" t="s">
        <v>156</v>
      </c>
      <c r="D64" t="s">
        <v>420</v>
      </c>
      <c r="E64" t="s">
        <v>353</v>
      </c>
      <c r="F64" s="112">
        <v>15000000</v>
      </c>
      <c r="I64" s="3"/>
      <c r="K64" s="3"/>
      <c r="L64" s="56"/>
      <c r="M64" s="166">
        <f t="shared" si="3"/>
        <v>0</v>
      </c>
    </row>
    <row r="65" spans="1:14" ht="12">
      <c r="A65">
        <v>103</v>
      </c>
      <c r="B65" s="1" t="s">
        <v>627</v>
      </c>
      <c r="C65" t="s">
        <v>156</v>
      </c>
      <c r="D65" t="s">
        <v>421</v>
      </c>
      <c r="E65" t="s">
        <v>349</v>
      </c>
      <c r="F65" s="112">
        <v>13800000</v>
      </c>
      <c r="I65" s="3"/>
      <c r="K65" s="3"/>
      <c r="L65" s="56"/>
      <c r="M65" s="166">
        <f t="shared" si="3"/>
        <v>0</v>
      </c>
    </row>
    <row r="66" spans="1:14" ht="12">
      <c r="A66">
        <v>109</v>
      </c>
      <c r="B66" s="1" t="s">
        <v>621</v>
      </c>
      <c r="C66" t="s">
        <v>156</v>
      </c>
      <c r="D66" t="s">
        <v>422</v>
      </c>
      <c r="E66" t="s">
        <v>423</v>
      </c>
      <c r="F66" s="112">
        <v>15000000</v>
      </c>
      <c r="I66" s="3"/>
      <c r="K66" s="3"/>
      <c r="L66" s="56"/>
      <c r="M66" s="166">
        <f t="shared" si="3"/>
        <v>0</v>
      </c>
    </row>
    <row r="67" spans="1:14" ht="12">
      <c r="A67" s="142">
        <v>2781</v>
      </c>
      <c r="B67" s="1" t="s">
        <v>633</v>
      </c>
      <c r="C67" s="152" t="s">
        <v>156</v>
      </c>
      <c r="D67" s="152" t="s">
        <v>424</v>
      </c>
      <c r="E67" s="152" t="s">
        <v>708</v>
      </c>
      <c r="F67" s="153">
        <v>15000000</v>
      </c>
      <c r="G67" s="30">
        <v>15000000</v>
      </c>
      <c r="H67" s="124">
        <v>36440</v>
      </c>
      <c r="I67" s="3">
        <f>H67+35</f>
        <v>36475</v>
      </c>
      <c r="J67" s="136">
        <v>15000000</v>
      </c>
      <c r="K67" s="3">
        <f>H67+120</f>
        <v>36560</v>
      </c>
      <c r="L67" s="56">
        <v>11700000</v>
      </c>
      <c r="M67" s="166">
        <f t="shared" si="3"/>
        <v>3300000</v>
      </c>
      <c r="N67" s="3">
        <v>36564</v>
      </c>
    </row>
    <row r="68" spans="1:14" ht="12">
      <c r="A68" s="142">
        <v>2783</v>
      </c>
      <c r="B68" s="1" t="s">
        <v>621</v>
      </c>
      <c r="C68" s="152" t="s">
        <v>156</v>
      </c>
      <c r="D68" s="152" t="s">
        <v>425</v>
      </c>
      <c r="E68" s="152" t="s">
        <v>394</v>
      </c>
      <c r="F68" s="153">
        <v>14900000</v>
      </c>
      <c r="G68" s="30">
        <v>14900000</v>
      </c>
      <c r="H68" s="124">
        <v>36445</v>
      </c>
      <c r="I68" s="3">
        <f>H68+35</f>
        <v>36480</v>
      </c>
      <c r="K68" s="3">
        <f>H68+120</f>
        <v>36565</v>
      </c>
      <c r="L68" s="56"/>
      <c r="M68" s="166">
        <f t="shared" si="3"/>
        <v>14900000</v>
      </c>
    </row>
    <row r="69" spans="1:14" ht="12">
      <c r="A69" s="142">
        <v>2784</v>
      </c>
      <c r="B69" s="1" t="s">
        <v>621</v>
      </c>
      <c r="C69" s="152" t="s">
        <v>156</v>
      </c>
      <c r="D69" s="152" t="s">
        <v>426</v>
      </c>
      <c r="E69" s="152" t="s">
        <v>349</v>
      </c>
      <c r="F69" s="153">
        <v>15000000</v>
      </c>
      <c r="G69" s="30">
        <v>15000000</v>
      </c>
      <c r="H69" s="124">
        <v>36445</v>
      </c>
      <c r="I69" s="3">
        <f>H69+35</f>
        <v>36480</v>
      </c>
      <c r="K69" s="3">
        <f>H69+120</f>
        <v>36565</v>
      </c>
      <c r="L69" s="56"/>
      <c r="M69" s="166">
        <f t="shared" si="3"/>
        <v>15000000</v>
      </c>
      <c r="N69" s="3">
        <v>36468</v>
      </c>
    </row>
    <row r="70" spans="1:14" ht="12">
      <c r="A70">
        <v>130</v>
      </c>
      <c r="B70" s="1" t="s">
        <v>621</v>
      </c>
      <c r="C70" t="s">
        <v>156</v>
      </c>
      <c r="D70" t="s">
        <v>427</v>
      </c>
      <c r="E70" t="s">
        <v>367</v>
      </c>
      <c r="F70" s="112">
        <v>15000000</v>
      </c>
      <c r="I70" s="3"/>
      <c r="K70" s="3"/>
      <c r="L70" s="56"/>
      <c r="M70" s="166">
        <f t="shared" si="3"/>
        <v>0</v>
      </c>
    </row>
    <row r="71" spans="1:14" ht="12">
      <c r="A71">
        <v>135</v>
      </c>
      <c r="B71" s="1" t="s">
        <v>621</v>
      </c>
      <c r="C71" t="s">
        <v>156</v>
      </c>
      <c r="D71" t="s">
        <v>428</v>
      </c>
      <c r="E71"/>
      <c r="F71" s="112">
        <v>15000000</v>
      </c>
      <c r="I71" s="3"/>
      <c r="K71" s="3"/>
      <c r="L71" s="56"/>
      <c r="M71" s="166">
        <f t="shared" si="3"/>
        <v>0</v>
      </c>
    </row>
    <row r="72" spans="1:14" ht="12">
      <c r="A72">
        <v>146</v>
      </c>
      <c r="B72" s="1" t="s">
        <v>627</v>
      </c>
      <c r="C72" t="s">
        <v>156</v>
      </c>
      <c r="D72" t="s">
        <v>429</v>
      </c>
      <c r="E72" t="s">
        <v>381</v>
      </c>
      <c r="F72" s="112">
        <v>14800000</v>
      </c>
      <c r="I72" s="3"/>
      <c r="K72" s="3"/>
      <c r="L72" s="56"/>
      <c r="M72" s="166">
        <f t="shared" si="3"/>
        <v>0</v>
      </c>
    </row>
    <row r="73" spans="1:14" ht="12">
      <c r="A73">
        <v>148</v>
      </c>
      <c r="B73" s="1" t="s">
        <v>621</v>
      </c>
      <c r="C73" t="s">
        <v>156</v>
      </c>
      <c r="D73" t="s">
        <v>430</v>
      </c>
      <c r="E73"/>
      <c r="F73" s="112">
        <v>15000000</v>
      </c>
      <c r="I73" s="3"/>
      <c r="K73" s="3"/>
      <c r="L73" s="56"/>
      <c r="M73" s="166">
        <f t="shared" si="3"/>
        <v>0</v>
      </c>
    </row>
    <row r="74" spans="1:14" ht="12">
      <c r="A74">
        <v>149</v>
      </c>
      <c r="B74" s="1" t="s">
        <v>621</v>
      </c>
      <c r="C74" t="s">
        <v>156</v>
      </c>
      <c r="D74" t="s">
        <v>431</v>
      </c>
      <c r="E74"/>
      <c r="F74" s="112">
        <v>15000000</v>
      </c>
      <c r="I74" s="3"/>
      <c r="K74" s="3"/>
      <c r="L74" s="56"/>
      <c r="M74" s="166">
        <f t="shared" si="3"/>
        <v>0</v>
      </c>
    </row>
    <row r="75" spans="1:14" ht="12">
      <c r="A75">
        <v>155</v>
      </c>
      <c r="B75" s="1" t="s">
        <v>627</v>
      </c>
      <c r="C75" t="s">
        <v>156</v>
      </c>
      <c r="D75" t="s">
        <v>432</v>
      </c>
      <c r="E75" t="s">
        <v>353</v>
      </c>
      <c r="F75" s="112">
        <v>15000000</v>
      </c>
      <c r="I75" s="3"/>
      <c r="K75" s="3"/>
      <c r="L75" s="56"/>
      <c r="M75" s="166">
        <f t="shared" si="3"/>
        <v>0</v>
      </c>
    </row>
    <row r="76" spans="1:14" ht="12">
      <c r="A76">
        <v>159</v>
      </c>
      <c r="B76" s="1" t="s">
        <v>621</v>
      </c>
      <c r="C76" t="s">
        <v>156</v>
      </c>
      <c r="D76" t="s">
        <v>433</v>
      </c>
      <c r="E76" t="s">
        <v>434</v>
      </c>
      <c r="F76" s="112">
        <v>15000000</v>
      </c>
      <c r="I76" s="3"/>
      <c r="K76" s="3"/>
      <c r="L76" s="56"/>
      <c r="M76" s="166">
        <f t="shared" si="3"/>
        <v>0</v>
      </c>
    </row>
    <row r="77" spans="1:14" ht="12">
      <c r="A77">
        <v>162</v>
      </c>
      <c r="B77" s="1" t="s">
        <v>621</v>
      </c>
      <c r="C77" t="s">
        <v>156</v>
      </c>
      <c r="D77" t="s">
        <v>435</v>
      </c>
      <c r="E77" t="s">
        <v>381</v>
      </c>
      <c r="F77" s="112">
        <v>14200000</v>
      </c>
      <c r="I77" s="3"/>
      <c r="K77" s="3"/>
      <c r="L77" s="56"/>
      <c r="M77" s="166">
        <f t="shared" si="3"/>
        <v>0</v>
      </c>
    </row>
    <row r="78" spans="1:14" ht="12">
      <c r="A78">
        <v>165</v>
      </c>
      <c r="B78" s="1" t="s">
        <v>627</v>
      </c>
      <c r="C78" t="s">
        <v>156</v>
      </c>
      <c r="D78" t="s">
        <v>436</v>
      </c>
      <c r="E78" t="s">
        <v>381</v>
      </c>
      <c r="F78" s="112">
        <v>14200000</v>
      </c>
      <c r="I78" s="3"/>
      <c r="K78" s="3"/>
      <c r="L78" s="56"/>
      <c r="M78" s="166">
        <f t="shared" si="3"/>
        <v>0</v>
      </c>
    </row>
    <row r="79" spans="1:14" ht="12">
      <c r="A79" s="142">
        <v>2785</v>
      </c>
      <c r="B79" s="1" t="s">
        <v>621</v>
      </c>
      <c r="C79" s="152" t="s">
        <v>156</v>
      </c>
      <c r="D79" s="152" t="s">
        <v>437</v>
      </c>
      <c r="E79" s="152" t="s">
        <v>381</v>
      </c>
      <c r="F79" s="153">
        <v>13700000</v>
      </c>
      <c r="G79" s="30">
        <v>13700000</v>
      </c>
      <c r="H79" s="124">
        <v>36455</v>
      </c>
      <c r="I79" s="3">
        <f>H79+35</f>
        <v>36490</v>
      </c>
      <c r="J79" s="136">
        <v>13700000</v>
      </c>
      <c r="K79" s="3">
        <f>H79+120</f>
        <v>36575</v>
      </c>
      <c r="L79" s="56">
        <v>0</v>
      </c>
      <c r="M79" s="166">
        <f t="shared" si="3"/>
        <v>13700000</v>
      </c>
      <c r="N79" s="3">
        <v>36574</v>
      </c>
    </row>
    <row r="80" spans="1:14" ht="12">
      <c r="A80" s="142">
        <v>2787</v>
      </c>
      <c r="B80" s="1" t="s">
        <v>621</v>
      </c>
      <c r="C80" s="152" t="s">
        <v>156</v>
      </c>
      <c r="D80" s="152" t="s">
        <v>438</v>
      </c>
      <c r="E80" s="152" t="s">
        <v>381</v>
      </c>
      <c r="F80" s="153">
        <v>14000000</v>
      </c>
      <c r="G80" s="30">
        <v>14000000</v>
      </c>
      <c r="H80" s="124">
        <v>36455</v>
      </c>
      <c r="I80" s="3">
        <f>H80+35</f>
        <v>36490</v>
      </c>
      <c r="K80" s="3">
        <f>H80+120</f>
        <v>36575</v>
      </c>
      <c r="L80" s="56"/>
      <c r="M80" s="166">
        <f t="shared" ref="M80:M93" si="4">SUM(G80-L80)</f>
        <v>14000000</v>
      </c>
      <c r="N80" s="3">
        <v>36475</v>
      </c>
    </row>
    <row r="81" spans="1:14" ht="12">
      <c r="A81">
        <v>176</v>
      </c>
      <c r="B81" s="1" t="s">
        <v>621</v>
      </c>
      <c r="C81" t="s">
        <v>156</v>
      </c>
      <c r="D81" t="s">
        <v>439</v>
      </c>
      <c r="E81" t="s">
        <v>349</v>
      </c>
      <c r="F81" s="112">
        <v>14700000</v>
      </c>
      <c r="I81" s="3"/>
      <c r="K81" s="3"/>
      <c r="L81" s="56"/>
      <c r="M81" s="166">
        <f t="shared" si="4"/>
        <v>0</v>
      </c>
    </row>
    <row r="82" spans="1:14" ht="12">
      <c r="A82">
        <v>184</v>
      </c>
      <c r="B82" s="1" t="s">
        <v>621</v>
      </c>
      <c r="C82" t="s">
        <v>156</v>
      </c>
      <c r="D82" t="s">
        <v>440</v>
      </c>
      <c r="E82" t="s">
        <v>381</v>
      </c>
      <c r="F82" s="112">
        <v>15000000</v>
      </c>
      <c r="I82" s="3"/>
      <c r="K82" s="3"/>
      <c r="L82" s="56"/>
      <c r="M82" s="166">
        <f t="shared" si="4"/>
        <v>0</v>
      </c>
    </row>
    <row r="83" spans="1:14" ht="12">
      <c r="A83">
        <v>187</v>
      </c>
      <c r="B83" s="1" t="s">
        <v>627</v>
      </c>
      <c r="C83" t="s">
        <v>156</v>
      </c>
      <c r="D83" t="s">
        <v>441</v>
      </c>
      <c r="E83" t="s">
        <v>442</v>
      </c>
      <c r="F83" s="112">
        <v>15000000</v>
      </c>
      <c r="I83" s="3"/>
      <c r="K83" s="3"/>
      <c r="L83" s="56"/>
      <c r="M83" s="166">
        <f t="shared" si="4"/>
        <v>0</v>
      </c>
    </row>
    <row r="84" spans="1:14" ht="12">
      <c r="A84">
        <v>192</v>
      </c>
      <c r="B84" s="1" t="s">
        <v>627</v>
      </c>
      <c r="C84" t="s">
        <v>156</v>
      </c>
      <c r="D84" t="s">
        <v>443</v>
      </c>
      <c r="E84" t="s">
        <v>367</v>
      </c>
      <c r="F84" s="112">
        <v>15000000</v>
      </c>
      <c r="I84" s="3"/>
      <c r="K84" s="3"/>
      <c r="L84" s="56"/>
      <c r="M84" s="166">
        <f t="shared" si="4"/>
        <v>0</v>
      </c>
    </row>
    <row r="85" spans="1:14" ht="12">
      <c r="A85">
        <v>199</v>
      </c>
      <c r="B85" s="1" t="s">
        <v>627</v>
      </c>
      <c r="C85" t="s">
        <v>156</v>
      </c>
      <c r="D85" t="s">
        <v>444</v>
      </c>
      <c r="E85" t="s">
        <v>381</v>
      </c>
      <c r="F85" s="112">
        <v>15000000</v>
      </c>
      <c r="I85" s="3"/>
      <c r="K85" s="3"/>
      <c r="L85" s="56"/>
      <c r="M85" s="166">
        <f t="shared" si="4"/>
        <v>0</v>
      </c>
    </row>
    <row r="86" spans="1:14" ht="12">
      <c r="A86">
        <v>200</v>
      </c>
      <c r="B86" s="1" t="s">
        <v>621</v>
      </c>
      <c r="C86" t="s">
        <v>156</v>
      </c>
      <c r="D86" t="s">
        <v>445</v>
      </c>
      <c r="E86" t="s">
        <v>394</v>
      </c>
      <c r="F86" s="112">
        <v>15000000</v>
      </c>
      <c r="I86" s="3"/>
      <c r="K86" s="3"/>
      <c r="L86" s="56"/>
      <c r="M86" s="166">
        <f t="shared" si="4"/>
        <v>0</v>
      </c>
    </row>
    <row r="87" spans="1:14" ht="12">
      <c r="A87">
        <v>202</v>
      </c>
      <c r="B87" s="1" t="s">
        <v>627</v>
      </c>
      <c r="C87" t="s">
        <v>156</v>
      </c>
      <c r="D87" t="s">
        <v>446</v>
      </c>
      <c r="E87" t="s">
        <v>381</v>
      </c>
      <c r="F87" s="112">
        <v>15000000</v>
      </c>
      <c r="I87" s="3"/>
      <c r="K87" s="3"/>
      <c r="L87" s="56"/>
      <c r="M87" s="166">
        <f t="shared" si="4"/>
        <v>0</v>
      </c>
    </row>
    <row r="88" spans="1:14" ht="12">
      <c r="A88">
        <v>204</v>
      </c>
      <c r="B88" s="1" t="s">
        <v>627</v>
      </c>
      <c r="C88" t="s">
        <v>156</v>
      </c>
      <c r="D88" t="s">
        <v>447</v>
      </c>
      <c r="E88" t="s">
        <v>381</v>
      </c>
      <c r="F88" s="112">
        <v>14800000</v>
      </c>
      <c r="I88" s="3"/>
      <c r="K88" s="3"/>
      <c r="L88" s="56"/>
      <c r="M88" s="166">
        <f t="shared" si="4"/>
        <v>0</v>
      </c>
    </row>
    <row r="89" spans="1:14" ht="12">
      <c r="A89" s="142">
        <v>2790</v>
      </c>
      <c r="B89" s="1" t="s">
        <v>621</v>
      </c>
      <c r="C89" s="152" t="s">
        <v>156</v>
      </c>
      <c r="D89" s="152" t="s">
        <v>714</v>
      </c>
      <c r="E89" s="152" t="s">
        <v>712</v>
      </c>
      <c r="F89" s="153">
        <v>15000000</v>
      </c>
      <c r="G89" s="30">
        <v>15000000</v>
      </c>
      <c r="H89" s="124">
        <v>36469</v>
      </c>
      <c r="I89" s="3">
        <f>H89+35</f>
        <v>36504</v>
      </c>
      <c r="J89" s="136">
        <v>15000000</v>
      </c>
      <c r="K89" s="3">
        <f>H89+120</f>
        <v>36589</v>
      </c>
      <c r="L89" s="56"/>
      <c r="M89" s="166">
        <f t="shared" si="4"/>
        <v>15000000</v>
      </c>
      <c r="N89" s="3">
        <v>36587</v>
      </c>
    </row>
    <row r="90" spans="1:14" ht="12">
      <c r="A90">
        <v>209</v>
      </c>
      <c r="B90" s="1" t="s">
        <v>627</v>
      </c>
      <c r="C90" t="s">
        <v>156</v>
      </c>
      <c r="D90" t="s">
        <v>449</v>
      </c>
      <c r="E90" t="s">
        <v>450</v>
      </c>
      <c r="F90" s="112">
        <v>15000000</v>
      </c>
      <c r="I90" s="3"/>
      <c r="K90" s="3"/>
      <c r="L90" s="56"/>
      <c r="M90" s="166">
        <f t="shared" si="4"/>
        <v>0</v>
      </c>
    </row>
    <row r="91" spans="1:14" ht="12">
      <c r="A91">
        <v>214</v>
      </c>
      <c r="B91" s="1" t="s">
        <v>627</v>
      </c>
      <c r="C91" t="s">
        <v>156</v>
      </c>
      <c r="D91" t="s">
        <v>451</v>
      </c>
      <c r="E91" t="s">
        <v>394</v>
      </c>
      <c r="F91" s="112">
        <v>11000000</v>
      </c>
      <c r="I91" s="3"/>
      <c r="K91" s="3"/>
      <c r="L91" s="56"/>
      <c r="M91" s="166">
        <f t="shared" si="4"/>
        <v>0</v>
      </c>
    </row>
    <row r="92" spans="1:14" ht="12">
      <c r="A92">
        <v>221</v>
      </c>
      <c r="B92" s="1" t="s">
        <v>627</v>
      </c>
      <c r="C92" t="s">
        <v>156</v>
      </c>
      <c r="D92" t="s">
        <v>452</v>
      </c>
      <c r="E92" t="s">
        <v>381</v>
      </c>
      <c r="F92" s="112">
        <v>11600000</v>
      </c>
      <c r="I92" s="3"/>
      <c r="K92" s="3"/>
      <c r="L92" s="56"/>
      <c r="M92" s="166">
        <f t="shared" si="4"/>
        <v>0</v>
      </c>
    </row>
    <row r="93" spans="1:14" ht="12">
      <c r="A93" s="142">
        <v>2793</v>
      </c>
      <c r="B93" s="1" t="s">
        <v>621</v>
      </c>
      <c r="C93" s="152" t="s">
        <v>156</v>
      </c>
      <c r="D93" s="152" t="s">
        <v>453</v>
      </c>
      <c r="E93" s="152" t="s">
        <v>361</v>
      </c>
      <c r="F93" s="153">
        <v>15000000</v>
      </c>
      <c r="G93" s="30">
        <v>15000000</v>
      </c>
      <c r="H93" s="124">
        <v>36481</v>
      </c>
      <c r="I93" s="3">
        <f>H93+35</f>
        <v>36516</v>
      </c>
      <c r="J93" s="136">
        <v>15000000</v>
      </c>
      <c r="K93" s="3">
        <f>H93+120</f>
        <v>36601</v>
      </c>
      <c r="L93" s="56"/>
      <c r="M93" s="166">
        <f t="shared" si="4"/>
        <v>15000000</v>
      </c>
      <c r="N93" s="3">
        <v>36529</v>
      </c>
    </row>
    <row r="94" spans="1:14" ht="12">
      <c r="A94">
        <v>235</v>
      </c>
      <c r="B94" s="1" t="s">
        <v>627</v>
      </c>
      <c r="C94" t="s">
        <v>156</v>
      </c>
      <c r="D94" t="s">
        <v>454</v>
      </c>
      <c r="E94"/>
      <c r="F94" s="112">
        <v>15000000</v>
      </c>
      <c r="I94" s="3"/>
      <c r="K94" s="3"/>
      <c r="L94" s="56"/>
    </row>
    <row r="95" spans="1:14" ht="12">
      <c r="A95">
        <v>240</v>
      </c>
      <c r="B95" s="1" t="s">
        <v>627</v>
      </c>
      <c r="C95" t="s">
        <v>156</v>
      </c>
      <c r="D95" t="s">
        <v>455</v>
      </c>
      <c r="E95" t="s">
        <v>381</v>
      </c>
      <c r="F95" s="112">
        <v>15000000</v>
      </c>
      <c r="I95" s="3"/>
      <c r="K95" s="3"/>
      <c r="L95" s="56"/>
    </row>
    <row r="96" spans="1:14" ht="12">
      <c r="A96">
        <v>246</v>
      </c>
      <c r="B96" s="1" t="s">
        <v>627</v>
      </c>
      <c r="C96" t="s">
        <v>156</v>
      </c>
      <c r="D96" t="s">
        <v>456</v>
      </c>
      <c r="E96" t="s">
        <v>457</v>
      </c>
      <c r="F96" s="112">
        <v>15000000</v>
      </c>
      <c r="I96" s="3"/>
      <c r="K96" s="3"/>
      <c r="L96" s="56"/>
    </row>
    <row r="97" spans="1:14" ht="12">
      <c r="A97">
        <v>247</v>
      </c>
      <c r="B97" s="1" t="s">
        <v>627</v>
      </c>
      <c r="C97" t="s">
        <v>156</v>
      </c>
      <c r="D97" t="s">
        <v>458</v>
      </c>
      <c r="E97" t="s">
        <v>367</v>
      </c>
      <c r="F97" s="112">
        <v>11900000</v>
      </c>
      <c r="I97" s="3"/>
      <c r="K97" s="3"/>
      <c r="L97" s="56"/>
    </row>
    <row r="98" spans="1:14" ht="12">
      <c r="A98">
        <v>254</v>
      </c>
      <c r="B98" s="1" t="s">
        <v>627</v>
      </c>
      <c r="C98" t="s">
        <v>156</v>
      </c>
      <c r="D98" t="s">
        <v>459</v>
      </c>
      <c r="E98" t="s">
        <v>367</v>
      </c>
      <c r="F98" s="112">
        <v>7000000</v>
      </c>
      <c r="I98" s="3"/>
      <c r="K98" s="3"/>
      <c r="L98" s="56"/>
    </row>
    <row r="99" spans="1:14" ht="12">
      <c r="A99">
        <v>257</v>
      </c>
      <c r="B99" s="1" t="s">
        <v>627</v>
      </c>
      <c r="C99" t="s">
        <v>156</v>
      </c>
      <c r="D99" t="s">
        <v>460</v>
      </c>
      <c r="E99"/>
      <c r="F99" s="112">
        <v>15000000</v>
      </c>
      <c r="I99" s="3"/>
      <c r="K99" s="3"/>
      <c r="L99" s="56"/>
    </row>
    <row r="100" spans="1:14" ht="12">
      <c r="A100">
        <v>259</v>
      </c>
      <c r="B100" s="1" t="s">
        <v>300</v>
      </c>
      <c r="C100" t="s">
        <v>156</v>
      </c>
      <c r="D100" t="s">
        <v>461</v>
      </c>
      <c r="E100" t="s">
        <v>379</v>
      </c>
      <c r="F100" s="112">
        <v>10000000</v>
      </c>
      <c r="I100" s="3"/>
      <c r="K100" s="3"/>
      <c r="L100" s="56"/>
    </row>
    <row r="101" spans="1:14" ht="12">
      <c r="A101">
        <v>260</v>
      </c>
      <c r="B101" s="1" t="s">
        <v>300</v>
      </c>
      <c r="C101" t="s">
        <v>156</v>
      </c>
      <c r="D101" t="s">
        <v>462</v>
      </c>
      <c r="E101" t="s">
        <v>463</v>
      </c>
      <c r="F101" s="112">
        <v>11000000</v>
      </c>
      <c r="I101" s="3"/>
      <c r="K101" s="3"/>
      <c r="L101" s="56"/>
    </row>
    <row r="102" spans="1:14" ht="12">
      <c r="A102">
        <v>264</v>
      </c>
      <c r="B102" s="1" t="s">
        <v>300</v>
      </c>
      <c r="C102" t="s">
        <v>156</v>
      </c>
      <c r="D102" t="s">
        <v>464</v>
      </c>
      <c r="E102" t="s">
        <v>381</v>
      </c>
      <c r="F102" s="112">
        <v>15000000</v>
      </c>
      <c r="I102" s="3"/>
      <c r="K102" s="3"/>
      <c r="L102" s="56"/>
    </row>
    <row r="103" spans="1:14" ht="12">
      <c r="A103">
        <v>265</v>
      </c>
      <c r="B103" s="1" t="s">
        <v>300</v>
      </c>
      <c r="C103" t="s">
        <v>156</v>
      </c>
      <c r="D103" t="s">
        <v>465</v>
      </c>
      <c r="E103" t="s">
        <v>450</v>
      </c>
      <c r="F103" s="112">
        <v>15000000</v>
      </c>
      <c r="I103" s="3"/>
      <c r="K103" s="3"/>
      <c r="L103" s="56"/>
    </row>
    <row r="104" spans="1:14" ht="12">
      <c r="A104">
        <v>268</v>
      </c>
      <c r="B104" s="1" t="s">
        <v>300</v>
      </c>
      <c r="C104" t="s">
        <v>156</v>
      </c>
      <c r="D104" t="s">
        <v>466</v>
      </c>
      <c r="E104" t="s">
        <v>367</v>
      </c>
      <c r="F104" s="112">
        <v>10900000</v>
      </c>
      <c r="I104" s="3"/>
      <c r="K104" s="3"/>
      <c r="L104" s="56"/>
    </row>
    <row r="105" spans="1:14" ht="12">
      <c r="A105">
        <v>269</v>
      </c>
      <c r="B105" s="1" t="s">
        <v>300</v>
      </c>
      <c r="C105" t="s">
        <v>156</v>
      </c>
      <c r="D105" t="s">
        <v>467</v>
      </c>
      <c r="E105" t="s">
        <v>450</v>
      </c>
      <c r="F105" s="112">
        <v>15000000</v>
      </c>
      <c r="I105" s="3"/>
      <c r="K105" s="3"/>
      <c r="L105" s="56"/>
    </row>
    <row r="106" spans="1:14" ht="12">
      <c r="A106">
        <v>271</v>
      </c>
      <c r="B106" s="1" t="s">
        <v>300</v>
      </c>
      <c r="C106" t="s">
        <v>156</v>
      </c>
      <c r="D106" t="s">
        <v>468</v>
      </c>
      <c r="E106"/>
      <c r="F106" s="112">
        <v>15000000</v>
      </c>
      <c r="I106" s="3"/>
      <c r="K106" s="3"/>
      <c r="L106" s="56"/>
    </row>
    <row r="107" spans="1:14" ht="12">
      <c r="A107">
        <v>274</v>
      </c>
      <c r="B107" s="1" t="s">
        <v>300</v>
      </c>
      <c r="C107" t="s">
        <v>156</v>
      </c>
      <c r="D107" t="s">
        <v>469</v>
      </c>
      <c r="E107" t="s">
        <v>381</v>
      </c>
      <c r="F107" s="112">
        <v>15000000</v>
      </c>
      <c r="I107" s="3"/>
      <c r="K107" s="3"/>
      <c r="L107" s="56"/>
    </row>
    <row r="108" spans="1:14" ht="12">
      <c r="A108">
        <v>276</v>
      </c>
      <c r="B108" s="1" t="s">
        <v>300</v>
      </c>
      <c r="C108" t="s">
        <v>156</v>
      </c>
      <c r="D108" t="s">
        <v>470</v>
      </c>
      <c r="E108" t="s">
        <v>381</v>
      </c>
      <c r="F108" s="112">
        <v>15000000</v>
      </c>
      <c r="I108" s="3"/>
      <c r="K108" s="3"/>
      <c r="L108" s="56"/>
    </row>
    <row r="109" spans="1:14" ht="12">
      <c r="A109">
        <v>279</v>
      </c>
      <c r="B109" s="1" t="s">
        <v>300</v>
      </c>
      <c r="C109" t="s">
        <v>156</v>
      </c>
      <c r="D109" t="s">
        <v>471</v>
      </c>
      <c r="E109" t="s">
        <v>361</v>
      </c>
      <c r="F109" s="112">
        <v>13000000</v>
      </c>
      <c r="G109" s="30" t="s">
        <v>28</v>
      </c>
      <c r="I109" s="3"/>
      <c r="K109" s="3"/>
      <c r="L109" s="56"/>
    </row>
    <row r="110" spans="1:14" ht="12">
      <c r="A110">
        <v>280</v>
      </c>
      <c r="B110" s="1" t="s">
        <v>300</v>
      </c>
      <c r="C110" t="s">
        <v>156</v>
      </c>
      <c r="D110" t="s">
        <v>472</v>
      </c>
      <c r="E110" t="s">
        <v>367</v>
      </c>
      <c r="F110" s="112">
        <v>9300000</v>
      </c>
      <c r="I110" s="3"/>
      <c r="K110" s="3"/>
      <c r="L110" s="56"/>
      <c r="N110" s="3"/>
    </row>
    <row r="111" spans="1:14" ht="12">
      <c r="A111">
        <v>288</v>
      </c>
      <c r="B111" s="1" t="s">
        <v>300</v>
      </c>
      <c r="C111" t="s">
        <v>156</v>
      </c>
      <c r="D111" t="s">
        <v>473</v>
      </c>
      <c r="E111"/>
      <c r="F111" s="112">
        <v>12900000</v>
      </c>
      <c r="G111" s="30" t="s">
        <v>28</v>
      </c>
      <c r="I111" s="3"/>
      <c r="K111" s="3"/>
      <c r="L111" s="56" t="s">
        <v>28</v>
      </c>
    </row>
    <row r="112" spans="1:14" s="26" customFormat="1">
      <c r="A112" s="21"/>
      <c r="B112" s="21"/>
      <c r="C112" s="21"/>
      <c r="D112" s="21"/>
      <c r="E112" s="21"/>
      <c r="F112" s="67"/>
      <c r="G112" s="89"/>
      <c r="H112" s="119"/>
      <c r="I112" s="3"/>
      <c r="J112" s="133"/>
      <c r="K112" s="3"/>
      <c r="L112" s="67"/>
      <c r="M112" s="173"/>
      <c r="N112" s="4"/>
    </row>
    <row r="113" spans="1:20" s="26" customFormat="1">
      <c r="A113" s="21"/>
      <c r="B113" s="21"/>
      <c r="C113" s="21"/>
      <c r="D113" s="21"/>
      <c r="E113" s="21"/>
      <c r="F113" s="67"/>
      <c r="G113" s="89"/>
      <c r="H113" s="119"/>
      <c r="I113" s="3"/>
      <c r="J113" s="133"/>
      <c r="K113" s="3"/>
      <c r="L113" s="67"/>
      <c r="M113" s="173"/>
      <c r="N113" s="4"/>
    </row>
    <row r="114" spans="1:20" s="26" customFormat="1">
      <c r="A114" s="1"/>
      <c r="B114" s="1"/>
      <c r="C114" s="12" t="s">
        <v>103</v>
      </c>
      <c r="D114" s="12"/>
      <c r="E114" s="12"/>
      <c r="F114" s="121">
        <f>SUM(F7:F111)</f>
        <v>1385100000</v>
      </c>
      <c r="G114" s="170">
        <f>SUM(G7:G111)</f>
        <v>515400000</v>
      </c>
      <c r="H114" s="119"/>
      <c r="I114" s="3"/>
      <c r="J114" s="151">
        <f>SUM(J7:J111)</f>
        <v>374450000</v>
      </c>
      <c r="K114" s="3"/>
      <c r="L114" s="121">
        <f>SUM(L7:L111)</f>
        <v>187450000</v>
      </c>
      <c r="M114" s="176">
        <f>SUM(M7:M111)</f>
        <v>327950000</v>
      </c>
      <c r="N114" s="4"/>
    </row>
    <row r="115" spans="1:20">
      <c r="C115" s="12"/>
      <c r="D115" s="12"/>
      <c r="E115" s="12"/>
      <c r="G115" s="37"/>
      <c r="I115" s="3"/>
      <c r="K115" s="3"/>
      <c r="N115" s="4"/>
      <c r="O115" s="5"/>
      <c r="P115" s="5"/>
      <c r="Q115" s="5"/>
      <c r="R115" s="5"/>
      <c r="S115" s="5"/>
      <c r="T115" s="5"/>
    </row>
    <row r="116" spans="1:20">
      <c r="A116" s="12"/>
      <c r="B116" s="12"/>
      <c r="C116" s="12" t="s">
        <v>264</v>
      </c>
      <c r="D116" s="12"/>
      <c r="E116" s="12"/>
      <c r="F116" s="56">
        <f>SUM(F114-G114)</f>
        <v>869700000</v>
      </c>
      <c r="G116" s="139"/>
      <c r="H116" s="120"/>
      <c r="I116" s="4"/>
      <c r="J116" s="137"/>
      <c r="K116" s="4"/>
      <c r="L116" s="63"/>
      <c r="M116" s="175"/>
      <c r="N116" s="4"/>
      <c r="O116" s="5"/>
      <c r="P116" s="5"/>
      <c r="Q116" s="5"/>
      <c r="R116" s="5"/>
      <c r="S116" s="5"/>
      <c r="T116" s="5"/>
    </row>
    <row r="117" spans="1:20">
      <c r="A117" s="12"/>
      <c r="B117" s="12"/>
      <c r="C117" s="12"/>
      <c r="D117" s="12"/>
      <c r="E117" s="12"/>
      <c r="G117" s="139"/>
      <c r="H117" s="120"/>
      <c r="I117" s="4"/>
      <c r="J117" s="137"/>
      <c r="K117" s="4"/>
      <c r="L117" s="63"/>
      <c r="M117" s="175"/>
      <c r="N117" s="4"/>
      <c r="O117" s="5"/>
      <c r="P117" s="5"/>
      <c r="Q117" s="5"/>
      <c r="R117" s="5"/>
      <c r="S117" s="5"/>
      <c r="T117" s="5"/>
    </row>
    <row r="118" spans="1:20">
      <c r="A118" s="12"/>
      <c r="B118" s="12"/>
      <c r="C118" s="12" t="s">
        <v>37</v>
      </c>
      <c r="D118" s="12"/>
      <c r="E118" s="12"/>
      <c r="F118" s="56">
        <f>+C1-G114+M114</f>
        <v>-93524211</v>
      </c>
      <c r="G118" s="139"/>
      <c r="H118" s="120"/>
      <c r="I118" s="4"/>
      <c r="J118" s="137"/>
      <c r="K118" s="4"/>
      <c r="L118" s="63"/>
      <c r="M118" s="175"/>
      <c r="N118" s="4"/>
      <c r="O118" s="5"/>
      <c r="P118" s="5"/>
      <c r="Q118" s="5"/>
      <c r="R118" s="5"/>
      <c r="S118" s="5"/>
      <c r="T118" s="5"/>
    </row>
    <row r="120" spans="1:20">
      <c r="B120" s="80"/>
      <c r="C120" s="81"/>
      <c r="D120" s="81"/>
      <c r="E120" s="81"/>
      <c r="F120" s="56"/>
      <c r="G120" s="387">
        <f>F118+G1</f>
        <v>-37724211</v>
      </c>
      <c r="H120" s="387"/>
    </row>
    <row r="122" spans="1:20">
      <c r="C122" s="12"/>
      <c r="D122" s="12"/>
      <c r="E122" s="12"/>
      <c r="F122" s="56"/>
      <c r="I122" s="265">
        <f>F12+F15+F23+F26+F27+F29+F31+F32+F33+F34+F37+F38+F45+F47+F49+F52+F53+F59+F60+F62+F63+F64+F65+F66+F70+F71+F72+F73+F74+F75+F76+F77+F78+F79+F81+F82+F83+F84+F85+F86+F87+F88+F90+F91+F92+F94+F95+F96+F97+F98+F99+'REGION 1'!F9+'REGION 1'!F10+'REGION 1'!F11+'REGION 3'!F15+'REGION 3'!F18+'REGION 3'!F20+'REGION 3'!F21+'REGION 3'!F22+'REGION 3'!F23+'REGION 3'!F27+'REGION 3'!F30+'REGION 3'!F31+'REGION 3'!F32+'REGION 3'!F33+'REGION 3'!F34+'REGION 3'!F35+'REGION 3'!F36+'REGION 3'!F37+'REGION 3'!F38+'REGION 3'!F39+'REGION 3'!F43+'REGION 4'!F9+'REGION 6'!F14+'REGION 6'!F17+'REGION 6'!F19+'REGION 6'!F20+'REGION 6'!F23+'REGION 6'!F24+'REGION 6'!F27+'REGION 6'!F30+'REGION 6'!F31+'REGION 6'!F35+'REGION 6'!F38+'REGION 6'!F39+'REGION 6'!F40+'REGION 6'!F41+'REGION 6'!F42+'REGION 6'!F44+'REGION 6'!F46+'REGION 6'!F47+'REGION 6'!F48+'REGION 6'!F49+'REGION 6'!F51+'REGION 6'!F52+'REGION 6'!F55+'REGION 6'!F56+'REGION 6'!F57+'REGION 6'!F58+'REGION 6'!F59+'REGION 6'!F62+'REGION 6'!F65+'REGION 6'!F74+'REGION 6'!F76</f>
        <v>1401440615</v>
      </c>
      <c r="J122" s="136">
        <f>'REGION 7'!F19+'REGION 7'!F20+'REGION 7'!F21+'REGION 7'!F22+'REGION 7'!F23+'REGION 7'!F24+'REGION 7'!F25+'REGION 8A'!F14+'REGION 8A'!F16+'REGION 8A'!F17+'REGION 8A'!F18+'REGION 8A'!F19+'REGION 8A'!F20+'REGION 8A'!F21+'REGION 8A'!F22+'REGION 8A'!F23</f>
        <v>214447000</v>
      </c>
      <c r="K122" s="265">
        <f>I122+J122</f>
        <v>1615887615</v>
      </c>
    </row>
    <row r="126" spans="1:20">
      <c r="A126" s="388"/>
      <c r="B126" s="388"/>
      <c r="C126" s="388"/>
      <c r="D126" s="388"/>
      <c r="E126" s="388"/>
      <c r="F126" s="388"/>
      <c r="G126" s="388"/>
      <c r="H126" s="388"/>
      <c r="I126" s="388"/>
      <c r="J126" s="388"/>
    </row>
    <row r="128" spans="1:20">
      <c r="A128" s="388"/>
      <c r="B128" s="388"/>
      <c r="C128" s="388"/>
      <c r="D128" s="388"/>
      <c r="E128" s="388"/>
      <c r="F128" s="388"/>
      <c r="G128" s="388"/>
      <c r="H128" s="388"/>
      <c r="I128" s="388"/>
      <c r="J128" s="388"/>
      <c r="K128" s="388"/>
      <c r="L128" s="388"/>
      <c r="M128" s="388"/>
      <c r="N128" s="388"/>
    </row>
    <row r="130" spans="1:14">
      <c r="A130" s="388"/>
      <c r="B130" s="388"/>
      <c r="C130" s="388"/>
      <c r="D130" s="388"/>
      <c r="E130" s="388"/>
      <c r="F130" s="388"/>
      <c r="G130" s="388"/>
      <c r="H130" s="388"/>
      <c r="I130" s="388"/>
      <c r="J130" s="388"/>
      <c r="K130" s="388"/>
      <c r="L130" s="388"/>
      <c r="M130" s="388"/>
      <c r="N130" s="388"/>
    </row>
    <row r="132" spans="1:14">
      <c r="A132" s="388"/>
      <c r="B132" s="388"/>
      <c r="C132" s="388"/>
      <c r="D132" s="388"/>
      <c r="E132" s="388"/>
      <c r="F132" s="388"/>
      <c r="G132" s="388"/>
      <c r="H132" s="388"/>
      <c r="I132" s="388"/>
      <c r="J132" s="388"/>
      <c r="K132" s="388"/>
      <c r="L132" s="388"/>
      <c r="M132" s="388"/>
      <c r="N132" s="388"/>
    </row>
    <row r="137" spans="1:14">
      <c r="F137" s="61">
        <f>F12+F15+F23+F26+F27+'REGION 1'!F10+'REGION 1'!F11+'REGION 3'!F15+'REGION 4'!F9+'REGION 6'!F10+'REGION 6'!F14+'REGION 6'!F17+'REGION 6'!F19+'REGION 6'!F20+'REGION 7'!F23</f>
        <v>189200000</v>
      </c>
    </row>
  </sheetData>
  <mergeCells count="5">
    <mergeCell ref="G120:H120"/>
    <mergeCell ref="A132:N132"/>
    <mergeCell ref="A126:J126"/>
    <mergeCell ref="A128:N128"/>
    <mergeCell ref="A130:N130"/>
  </mergeCells>
  <phoneticPr fontId="0" type="noConversion"/>
  <pageMargins left="0.75" right="0.75" top="1" bottom="1" header="0.5" footer="0.5"/>
  <pageSetup scale="57" fitToHeight="2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workbookViewId="0">
      <selection activeCell="G53" sqref="G53"/>
    </sheetView>
  </sheetViews>
  <sheetFormatPr defaultColWidth="10.85546875" defaultRowHeight="10.5"/>
  <cols>
    <col min="1" max="1" width="8.28515625" style="1" customWidth="1"/>
    <col min="2" max="2" width="10.5703125" style="1" bestFit="1" customWidth="1"/>
    <col min="3" max="3" width="21.5703125" style="1" bestFit="1" customWidth="1"/>
    <col min="4" max="4" width="19.140625" style="1" bestFit="1" customWidth="1"/>
    <col min="5" max="5" width="10.28515625" style="1" bestFit="1" customWidth="1"/>
    <col min="6" max="6" width="12.140625" style="136" bestFit="1" customWidth="1"/>
    <col min="7" max="7" width="12.5703125" style="30" bestFit="1" customWidth="1"/>
    <col min="8" max="8" width="13.7109375" style="1" customWidth="1"/>
    <col min="9" max="9" width="11.42578125" style="1" customWidth="1"/>
    <col min="10" max="10" width="11.7109375" style="30" bestFit="1" customWidth="1"/>
    <col min="11" max="11" width="10.140625" style="1" bestFit="1" customWidth="1"/>
    <col min="12" max="12" width="14.140625" style="61" customWidth="1"/>
    <col min="13" max="13" width="12.85546875" style="61" bestFit="1" customWidth="1"/>
    <col min="14" max="16384" width="10.85546875" style="1"/>
  </cols>
  <sheetData>
    <row r="1" spans="1:20" s="6" customFormat="1">
      <c r="A1" s="53" t="s">
        <v>43</v>
      </c>
      <c r="B1" s="27"/>
      <c r="C1" s="7">
        <v>10538473</v>
      </c>
      <c r="D1" s="7"/>
      <c r="E1" s="7"/>
      <c r="F1" s="132"/>
      <c r="G1" s="36"/>
      <c r="H1" s="9"/>
      <c r="I1" s="9"/>
      <c r="J1" s="36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14</v>
      </c>
      <c r="B2" s="20"/>
      <c r="C2" s="22"/>
      <c r="D2" s="22"/>
      <c r="E2" s="22"/>
      <c r="F2" s="133"/>
      <c r="G2" s="34"/>
      <c r="H2" s="23"/>
      <c r="I2" s="23"/>
      <c r="J2" s="34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133"/>
      <c r="G3" s="34"/>
      <c r="H3" s="23"/>
      <c r="I3" s="23"/>
      <c r="J3" s="34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0" t="s">
        <v>282</v>
      </c>
      <c r="E4" s="20" t="s">
        <v>268</v>
      </c>
      <c r="F4" s="134" t="s">
        <v>151</v>
      </c>
      <c r="G4" s="33" t="s">
        <v>30</v>
      </c>
      <c r="H4" s="24" t="s">
        <v>74</v>
      </c>
      <c r="I4" s="24" t="s">
        <v>218</v>
      </c>
      <c r="J4" s="33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C5" s="22"/>
      <c r="D5" s="22"/>
      <c r="E5" s="22"/>
      <c r="F5" s="134" t="s">
        <v>259</v>
      </c>
      <c r="G5" s="33" t="s">
        <v>259</v>
      </c>
      <c r="H5" s="24" t="s">
        <v>34</v>
      </c>
      <c r="I5" s="24" t="s">
        <v>102</v>
      </c>
      <c r="J5" s="33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135"/>
      <c r="G6" s="32"/>
      <c r="H6" s="18"/>
      <c r="I6" s="18"/>
      <c r="J6" s="32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3</v>
      </c>
      <c r="B7" s="1"/>
      <c r="C7" s="1"/>
      <c r="D7" s="1"/>
      <c r="E7" s="1"/>
      <c r="F7" s="136"/>
      <c r="G7" s="30"/>
      <c r="H7" s="3"/>
      <c r="I7" s="3"/>
      <c r="J7" s="30"/>
      <c r="K7" s="3"/>
      <c r="L7" s="61"/>
      <c r="M7" s="61"/>
      <c r="N7" s="3"/>
    </row>
    <row r="8" spans="1:20" s="198" customFormat="1" ht="12">
      <c r="A8" s="225">
        <v>2696</v>
      </c>
      <c r="B8" s="198" t="s">
        <v>621</v>
      </c>
      <c r="C8" s="226" t="s">
        <v>166</v>
      </c>
      <c r="D8" s="226" t="s">
        <v>474</v>
      </c>
      <c r="E8" s="226" t="s">
        <v>475</v>
      </c>
      <c r="F8" s="227">
        <v>8400000</v>
      </c>
      <c r="G8" s="201">
        <v>8400000</v>
      </c>
      <c r="H8" s="211">
        <v>36189</v>
      </c>
      <c r="I8" s="206">
        <f>H8+35</f>
        <v>36224</v>
      </c>
      <c r="J8" s="205">
        <v>8400000</v>
      </c>
      <c r="K8" s="206">
        <f>H8+120</f>
        <v>36309</v>
      </c>
      <c r="L8" s="229"/>
      <c r="M8" s="205">
        <v>8400000</v>
      </c>
      <c r="N8" s="206">
        <v>36308</v>
      </c>
    </row>
    <row r="9" spans="1:20" ht="12">
      <c r="A9">
        <v>151</v>
      </c>
      <c r="B9" s="1" t="s">
        <v>621</v>
      </c>
      <c r="C9" t="s">
        <v>46</v>
      </c>
      <c r="D9" t="s">
        <v>476</v>
      </c>
      <c r="E9" t="s">
        <v>477</v>
      </c>
      <c r="F9" s="112">
        <v>4800000</v>
      </c>
      <c r="G9" s="179"/>
      <c r="H9" s="154"/>
      <c r="I9" s="3"/>
      <c r="K9" s="3"/>
      <c r="L9" s="56"/>
      <c r="M9" s="30"/>
      <c r="N9" s="3"/>
    </row>
    <row r="10" spans="1:20" ht="12">
      <c r="A10">
        <v>183</v>
      </c>
      <c r="B10" s="1" t="s">
        <v>621</v>
      </c>
      <c r="C10" t="s">
        <v>166</v>
      </c>
      <c r="D10" t="s">
        <v>478</v>
      </c>
      <c r="E10" t="s">
        <v>475</v>
      </c>
      <c r="F10" s="112">
        <v>8400000</v>
      </c>
      <c r="G10" s="179"/>
      <c r="H10" s="154"/>
      <c r="I10" s="3"/>
      <c r="K10" s="3"/>
      <c r="L10" s="56"/>
      <c r="M10" s="30"/>
    </row>
    <row r="11" spans="1:20" ht="12">
      <c r="A11" s="152" t="s">
        <v>669</v>
      </c>
      <c r="B11" s="1" t="s">
        <v>621</v>
      </c>
      <c r="C11" s="152" t="s">
        <v>166</v>
      </c>
      <c r="D11" s="152" t="s">
        <v>676</v>
      </c>
      <c r="E11" s="152" t="s">
        <v>475</v>
      </c>
      <c r="F11" s="164">
        <v>1500000</v>
      </c>
      <c r="G11" s="179"/>
      <c r="H11" s="154"/>
      <c r="I11" s="3"/>
      <c r="K11" s="3"/>
      <c r="L11" s="56"/>
      <c r="M11" s="30"/>
    </row>
    <row r="12" spans="1:20" ht="12">
      <c r="A12" s="230">
        <v>2724</v>
      </c>
      <c r="B12" s="1" t="s">
        <v>633</v>
      </c>
      <c r="C12" s="152" t="s">
        <v>166</v>
      </c>
      <c r="D12" s="152" t="s">
        <v>677</v>
      </c>
      <c r="E12" s="152" t="s">
        <v>475</v>
      </c>
      <c r="F12" s="164">
        <v>9000000</v>
      </c>
      <c r="G12" s="179">
        <v>5738473</v>
      </c>
      <c r="H12" s="154">
        <v>36309</v>
      </c>
      <c r="I12" s="3">
        <f>H12+35</f>
        <v>36344</v>
      </c>
      <c r="J12" s="30">
        <v>5738473</v>
      </c>
      <c r="K12" s="3">
        <f>H12+120</f>
        <v>36429</v>
      </c>
      <c r="L12" s="56">
        <v>5736000</v>
      </c>
      <c r="M12" s="30">
        <f>J12-L12</f>
        <v>2473</v>
      </c>
      <c r="N12" s="3">
        <v>36434</v>
      </c>
    </row>
    <row r="13" spans="1:20" ht="12">
      <c r="A13" s="142"/>
      <c r="C13" s="142"/>
      <c r="D13" s="142"/>
      <c r="E13" s="142"/>
      <c r="F13" s="177"/>
      <c r="G13" s="146"/>
      <c r="H13" s="144"/>
      <c r="I13" s="3"/>
      <c r="K13" s="3"/>
      <c r="L13" s="56"/>
      <c r="M13" s="155"/>
    </row>
    <row r="14" spans="1:20" ht="12">
      <c r="A14" s="142"/>
      <c r="C14" s="142"/>
      <c r="D14" s="142"/>
      <c r="E14" s="142"/>
      <c r="F14" s="177"/>
      <c r="G14" s="146"/>
      <c r="H14" s="144"/>
      <c r="I14" s="3"/>
      <c r="K14" s="3"/>
      <c r="L14" s="56"/>
      <c r="M14" s="30"/>
      <c r="N14" s="3"/>
    </row>
    <row r="15" spans="1:20" ht="12">
      <c r="A15"/>
      <c r="C15"/>
      <c r="D15"/>
      <c r="E15"/>
      <c r="F15" s="178"/>
      <c r="G15" s="122"/>
      <c r="H15"/>
      <c r="I15" s="12"/>
      <c r="L15" s="56"/>
      <c r="M15" s="56"/>
    </row>
    <row r="16" spans="1:20" ht="12">
      <c r="A16" s="188"/>
      <c r="C16" s="142"/>
      <c r="D16" s="142"/>
      <c r="E16" s="142"/>
      <c r="F16" s="146"/>
      <c r="G16" s="146"/>
      <c r="H16" s="144"/>
      <c r="I16" s="3"/>
      <c r="J16" s="179"/>
      <c r="K16" s="3"/>
      <c r="L16" s="56"/>
      <c r="M16" s="160"/>
      <c r="N16" s="3"/>
    </row>
    <row r="17" spans="1:20" ht="12">
      <c r="A17" s="21"/>
      <c r="B17" s="12"/>
      <c r="C17" s="50"/>
      <c r="D17" s="50"/>
      <c r="E17" s="50"/>
      <c r="G17" s="31"/>
      <c r="H17" s="3"/>
      <c r="I17" s="12"/>
      <c r="L17" s="56"/>
      <c r="M17" s="56"/>
    </row>
    <row r="18" spans="1:20" s="26" customFormat="1" ht="11.25" thickBot="1">
      <c r="A18" s="21"/>
      <c r="B18" s="21"/>
      <c r="C18" s="21"/>
      <c r="D18" s="21"/>
      <c r="E18" s="21"/>
      <c r="F18" s="138"/>
      <c r="G18" s="148"/>
      <c r="H18" s="3"/>
      <c r="I18" s="3"/>
      <c r="J18" s="148"/>
      <c r="K18" s="3"/>
      <c r="L18" s="66"/>
      <c r="M18" s="83"/>
      <c r="N18" s="4"/>
    </row>
    <row r="19" spans="1:20" s="26" customFormat="1">
      <c r="A19" s="21"/>
      <c r="B19" s="21"/>
      <c r="C19" s="21"/>
      <c r="D19" s="21"/>
      <c r="E19" s="21"/>
      <c r="F19" s="133"/>
      <c r="G19" s="89"/>
      <c r="H19" s="3"/>
      <c r="I19" s="3"/>
      <c r="J19" s="89"/>
      <c r="K19" s="3"/>
      <c r="L19" s="67"/>
      <c r="M19" s="57"/>
      <c r="N19" s="4"/>
    </row>
    <row r="20" spans="1:20" s="26" customFormat="1">
      <c r="A20" s="1"/>
      <c r="B20" s="1"/>
      <c r="C20" s="12" t="s">
        <v>103</v>
      </c>
      <c r="D20" s="12"/>
      <c r="E20" s="12"/>
      <c r="F20" s="136">
        <f>SUM(F7:F17)</f>
        <v>32100000</v>
      </c>
      <c r="G20" s="37">
        <f>SUM(G7:G17)</f>
        <v>14138473</v>
      </c>
      <c r="H20" s="3"/>
      <c r="I20" s="3"/>
      <c r="J20" s="37">
        <f>SUM(J7:J18)</f>
        <v>14138473</v>
      </c>
      <c r="K20" s="3"/>
      <c r="L20" s="56">
        <f>SUM(L7:L18)</f>
        <v>5736000</v>
      </c>
      <c r="M20" s="56">
        <f>SUM(M7:M18)</f>
        <v>8402473</v>
      </c>
      <c r="N20" s="4"/>
    </row>
    <row r="21" spans="1:20">
      <c r="C21" s="12"/>
      <c r="D21" s="12"/>
      <c r="E21" s="12"/>
      <c r="G21" s="37"/>
      <c r="H21" s="3"/>
      <c r="I21" s="3"/>
      <c r="J21" s="37"/>
      <c r="K21" s="3"/>
      <c r="N21" s="4"/>
      <c r="O21" s="5"/>
      <c r="P21" s="5"/>
      <c r="Q21" s="5"/>
      <c r="R21" s="5"/>
      <c r="S21" s="5"/>
      <c r="T21" s="5"/>
    </row>
    <row r="22" spans="1:20">
      <c r="A22" s="12"/>
      <c r="B22" s="12"/>
      <c r="C22" s="12" t="s">
        <v>264</v>
      </c>
      <c r="D22" s="12"/>
      <c r="E22" s="12"/>
      <c r="F22" s="136">
        <f>SUM(F20-G20)</f>
        <v>17961527</v>
      </c>
      <c r="G22" s="139"/>
      <c r="H22" s="4"/>
      <c r="I22" s="4"/>
      <c r="J22" s="139"/>
      <c r="K22" s="4"/>
      <c r="L22" s="63"/>
      <c r="M22" s="63"/>
      <c r="N22" s="4"/>
      <c r="O22" s="5"/>
      <c r="P22" s="5"/>
      <c r="Q22" s="5"/>
      <c r="R22" s="5"/>
      <c r="S22" s="5"/>
      <c r="T22" s="5"/>
    </row>
    <row r="23" spans="1:20">
      <c r="A23" s="12"/>
      <c r="B23" s="12"/>
      <c r="C23" s="12"/>
      <c r="D23" s="12"/>
      <c r="E23" s="12"/>
      <c r="G23" s="139"/>
      <c r="H23" s="4"/>
      <c r="I23" s="4"/>
      <c r="J23" s="139"/>
      <c r="K23" s="4"/>
      <c r="L23" s="63"/>
      <c r="M23" s="63"/>
      <c r="N23" s="4"/>
      <c r="O23" s="5"/>
      <c r="P23" s="5"/>
      <c r="Q23" s="5"/>
      <c r="R23" s="5"/>
      <c r="S23" s="5"/>
      <c r="T23" s="5"/>
    </row>
    <row r="24" spans="1:20">
      <c r="A24" s="12"/>
      <c r="B24" s="12"/>
      <c r="C24" s="12" t="s">
        <v>37</v>
      </c>
      <c r="D24" s="12"/>
      <c r="E24" s="12"/>
      <c r="F24" s="136">
        <f>+C1-G20+M20</f>
        <v>4802473</v>
      </c>
      <c r="G24" s="139"/>
      <c r="H24" s="63">
        <f>F24-F9</f>
        <v>2473</v>
      </c>
      <c r="I24" s="4"/>
      <c r="J24" s="139"/>
      <c r="K24" s="4"/>
      <c r="L24" s="63"/>
      <c r="M24" s="63"/>
      <c r="N24" s="4"/>
      <c r="O24" s="5"/>
      <c r="P24" s="5"/>
      <c r="Q24" s="5"/>
      <c r="R24" s="5"/>
      <c r="S24" s="5"/>
      <c r="T24" s="5"/>
    </row>
    <row r="26" spans="1:20">
      <c r="B26" s="80"/>
      <c r="C26" s="81"/>
      <c r="D26" s="81"/>
      <c r="E26" s="81"/>
      <c r="G26" s="385"/>
      <c r="H26" s="385"/>
    </row>
    <row r="28" spans="1:20">
      <c r="C28" s="12"/>
      <c r="D28" s="12"/>
      <c r="E28" s="12"/>
    </row>
    <row r="32" spans="1:20">
      <c r="A32" s="386"/>
      <c r="B32" s="386"/>
      <c r="C32" s="386"/>
      <c r="D32" s="386"/>
      <c r="E32" s="386"/>
      <c r="F32" s="386"/>
      <c r="G32" s="386"/>
      <c r="H32" s="386"/>
      <c r="I32" s="386"/>
      <c r="J32" s="386"/>
    </row>
    <row r="34" spans="1:14">
      <c r="A34" s="385"/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5"/>
    </row>
    <row r="36" spans="1:14">
      <c r="A36" s="386"/>
      <c r="B36" s="386"/>
      <c r="C36" s="386"/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</row>
    <row r="38" spans="1:14">
      <c r="A38" s="386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</row>
  </sheetData>
  <mergeCells count="5">
    <mergeCell ref="A38:N38"/>
    <mergeCell ref="G26:H26"/>
    <mergeCell ref="A32:J32"/>
    <mergeCell ref="A34:N34"/>
    <mergeCell ref="A36:N36"/>
  </mergeCells>
  <phoneticPr fontId="0" type="noConversion"/>
  <pageMargins left="0.75" right="0.75" top="1" bottom="1" header="0.5" footer="0.5"/>
  <pageSetup scale="56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workbookViewId="0">
      <selection activeCell="F9" sqref="F9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9.140625" style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7410745</v>
      </c>
      <c r="D1" s="7"/>
      <c r="E1" s="7"/>
      <c r="F1" s="62"/>
      <c r="G1" s="68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68</v>
      </c>
      <c r="B2" s="20"/>
      <c r="C2" s="22"/>
      <c r="D2" s="22"/>
      <c r="E2" s="22"/>
      <c r="F2" s="67"/>
      <c r="G2" s="57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57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0"/>
      <c r="E4" s="20"/>
      <c r="F4" s="65" t="s">
        <v>151</v>
      </c>
      <c r="G4" s="77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C5" s="22" t="s">
        <v>282</v>
      </c>
      <c r="D5" s="22"/>
      <c r="E5" s="22"/>
      <c r="F5" s="65" t="s">
        <v>259</v>
      </c>
      <c r="G5" s="77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 t="s">
        <v>268</v>
      </c>
      <c r="D6" s="15"/>
      <c r="E6" s="15"/>
      <c r="F6" s="64"/>
      <c r="G6" s="70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/>
      <c r="B7" s="1"/>
      <c r="C7" s="1"/>
      <c r="D7" s="1"/>
      <c r="E7" s="1"/>
      <c r="F7" s="61"/>
      <c r="G7" s="56"/>
      <c r="H7" s="3"/>
      <c r="I7" s="3"/>
      <c r="J7" s="56"/>
      <c r="K7" s="3"/>
      <c r="L7" s="61"/>
      <c r="M7" s="61"/>
      <c r="N7" s="3"/>
    </row>
    <row r="8" spans="1:20" ht="12">
      <c r="B8" s="21" t="s">
        <v>305</v>
      </c>
      <c r="C8" s="50"/>
      <c r="D8" s="50"/>
      <c r="E8" s="50"/>
      <c r="F8" s="56"/>
      <c r="G8" s="69"/>
      <c r="I8" s="12"/>
      <c r="L8" s="56"/>
      <c r="M8" s="56"/>
    </row>
    <row r="9" spans="1:20" ht="12">
      <c r="A9" s="55"/>
      <c r="C9" s="50"/>
      <c r="D9" s="50"/>
      <c r="E9" s="50"/>
      <c r="F9" s="56"/>
      <c r="G9" s="69"/>
      <c r="I9" s="12"/>
      <c r="L9" s="56"/>
      <c r="M9" s="56"/>
    </row>
    <row r="10" spans="1:20" ht="12">
      <c r="A10" s="21"/>
      <c r="C10" s="50"/>
      <c r="D10" s="50"/>
      <c r="E10" s="50"/>
      <c r="F10" s="56"/>
      <c r="G10" s="69"/>
      <c r="I10" s="12"/>
      <c r="L10" s="56"/>
      <c r="M10" s="56"/>
    </row>
    <row r="11" spans="1:20" s="26" customFormat="1">
      <c r="A11" s="21"/>
      <c r="B11" s="21"/>
      <c r="C11" s="21"/>
      <c r="D11" s="21"/>
      <c r="E11" s="21"/>
      <c r="F11" s="67"/>
      <c r="G11" s="72"/>
      <c r="H11" s="3"/>
      <c r="I11" s="3"/>
      <c r="J11" s="72"/>
      <c r="K11" s="3"/>
      <c r="L11" s="67"/>
      <c r="M11" s="57"/>
      <c r="N11" s="4"/>
    </row>
    <row r="12" spans="1:20" s="26" customFormat="1">
      <c r="A12" s="1"/>
      <c r="B12" s="1"/>
      <c r="C12" s="12" t="s">
        <v>103</v>
      </c>
      <c r="D12" s="12"/>
      <c r="E12" s="12"/>
      <c r="F12" s="56">
        <f>SUM(F7:F10)</f>
        <v>0</v>
      </c>
      <c r="G12" s="76">
        <f>SUM(G7:G10)</f>
        <v>0</v>
      </c>
      <c r="H12" s="3"/>
      <c r="I12" s="3"/>
      <c r="J12" s="76">
        <f>SUM(J7:J10)</f>
        <v>0</v>
      </c>
      <c r="K12" s="3"/>
      <c r="L12" s="56">
        <f>SUM(L7:L10)</f>
        <v>0</v>
      </c>
      <c r="M12" s="56">
        <f>SUM(M7:M10)</f>
        <v>0</v>
      </c>
      <c r="N12" s="4"/>
    </row>
    <row r="13" spans="1:20">
      <c r="C13" s="12"/>
      <c r="D13" s="12"/>
      <c r="E13" s="12"/>
      <c r="G13" s="76"/>
      <c r="H13" s="3"/>
      <c r="I13" s="3"/>
      <c r="J13" s="76"/>
      <c r="K13" s="3"/>
      <c r="N13" s="4"/>
      <c r="O13" s="5"/>
      <c r="P13" s="5"/>
      <c r="Q13" s="5"/>
      <c r="R13" s="5"/>
      <c r="S13" s="5"/>
      <c r="T13" s="5"/>
    </row>
    <row r="14" spans="1:20">
      <c r="A14" s="12"/>
      <c r="B14" s="12"/>
      <c r="C14" s="12" t="s">
        <v>264</v>
      </c>
      <c r="D14" s="12"/>
      <c r="E14" s="12"/>
      <c r="F14" s="56">
        <f>SUM(F12-G12)</f>
        <v>0</v>
      </c>
      <c r="G14" s="79"/>
      <c r="H14" s="4"/>
      <c r="I14" s="4"/>
      <c r="J14" s="73"/>
      <c r="K14" s="4"/>
      <c r="L14" s="63"/>
      <c r="M14" s="63"/>
      <c r="N14" s="4"/>
      <c r="O14" s="5"/>
      <c r="P14" s="5"/>
      <c r="Q14" s="5"/>
      <c r="R14" s="5"/>
      <c r="S14" s="5"/>
      <c r="T14" s="5"/>
    </row>
    <row r="15" spans="1:20">
      <c r="A15" s="12"/>
      <c r="B15" s="12"/>
      <c r="C15" s="12"/>
      <c r="D15" s="12"/>
      <c r="E15" s="12"/>
      <c r="G15" s="73"/>
      <c r="H15" s="4"/>
      <c r="I15" s="4"/>
      <c r="J15" s="73"/>
      <c r="K15" s="4"/>
      <c r="L15" s="63"/>
      <c r="M15" s="63"/>
      <c r="N15" s="4"/>
      <c r="O15" s="5"/>
      <c r="P15" s="5"/>
      <c r="Q15" s="5"/>
      <c r="R15" s="5"/>
      <c r="S15" s="5"/>
      <c r="T15" s="5"/>
    </row>
    <row r="16" spans="1:20">
      <c r="A16" s="12"/>
      <c r="B16" s="12"/>
      <c r="C16" s="12" t="s">
        <v>37</v>
      </c>
      <c r="D16" s="12"/>
      <c r="E16" s="12"/>
      <c r="F16" s="56">
        <f>+C1-G12+M12</f>
        <v>7410745</v>
      </c>
      <c r="G16" s="73"/>
      <c r="H16" s="4"/>
      <c r="I16" s="4"/>
      <c r="J16" s="73"/>
      <c r="K16" s="4"/>
      <c r="L16" s="63"/>
      <c r="M16" s="63"/>
      <c r="N16" s="4"/>
      <c r="O16" s="5"/>
      <c r="P16" s="5"/>
      <c r="Q16" s="5"/>
      <c r="R16" s="5"/>
      <c r="S16" s="5"/>
      <c r="T16" s="5"/>
    </row>
    <row r="18" spans="1:14">
      <c r="B18" s="80"/>
      <c r="C18" s="81"/>
      <c r="D18" s="81"/>
      <c r="E18" s="81"/>
      <c r="F18" s="56"/>
      <c r="G18" s="385"/>
      <c r="H18" s="385"/>
    </row>
    <row r="20" spans="1:14">
      <c r="C20" s="12"/>
      <c r="D20" s="12"/>
      <c r="E20" s="12"/>
      <c r="F20" s="56"/>
    </row>
    <row r="24" spans="1:14">
      <c r="A24" s="386"/>
      <c r="B24" s="386"/>
      <c r="C24" s="386"/>
      <c r="D24" s="386"/>
      <c r="E24" s="386"/>
      <c r="F24" s="386"/>
      <c r="G24" s="386"/>
      <c r="H24" s="386"/>
      <c r="I24" s="386"/>
      <c r="J24" s="386"/>
    </row>
    <row r="26" spans="1:14">
      <c r="A26" s="385"/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</row>
    <row r="28" spans="1:14">
      <c r="A28" s="386"/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</row>
    <row r="30" spans="1:14">
      <c r="A30" s="386"/>
      <c r="B30" s="386"/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</row>
  </sheetData>
  <mergeCells count="5">
    <mergeCell ref="A30:N30"/>
    <mergeCell ref="G18:H18"/>
    <mergeCell ref="A24:J24"/>
    <mergeCell ref="A26:N26"/>
    <mergeCell ref="A28:N28"/>
  </mergeCells>
  <phoneticPr fontId="0" type="noConversion"/>
  <pageMargins left="0.75" right="0.75" top="1" bottom="1" header="0.5" footer="0.5"/>
  <pageSetup scale="7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opLeftCell="A5" workbookViewId="0">
      <selection activeCell="B44" sqref="A44:IV44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3.5703125" style="56" bestFit="1" customWidth="1"/>
    <col min="11" max="11" width="11" style="3" bestFit="1" customWidth="1"/>
    <col min="12" max="12" width="14.140625" style="136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74163803</v>
      </c>
      <c r="D1" s="7"/>
      <c r="E1" s="7"/>
      <c r="F1" s="62"/>
      <c r="G1" s="68"/>
      <c r="H1" s="9"/>
      <c r="I1" s="9"/>
      <c r="J1" s="68"/>
      <c r="K1" s="9"/>
      <c r="L1" s="13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256</v>
      </c>
      <c r="B2" s="20"/>
      <c r="C2" s="25">
        <v>71716397</v>
      </c>
      <c r="D2" s="67" t="s">
        <v>164</v>
      </c>
      <c r="E2" s="25"/>
      <c r="G2" s="57"/>
      <c r="H2" s="23"/>
      <c r="I2" s="23"/>
      <c r="J2" s="57"/>
      <c r="K2" s="23"/>
      <c r="L2" s="134"/>
      <c r="M2" s="65"/>
      <c r="N2" s="42"/>
      <c r="O2" s="20"/>
      <c r="P2" s="20"/>
      <c r="Q2" s="20"/>
      <c r="R2" s="20"/>
      <c r="S2" s="20"/>
      <c r="T2" s="20"/>
    </row>
    <row r="3" spans="1:20" s="21" customFormat="1">
      <c r="A3" s="54"/>
      <c r="B3" s="20"/>
      <c r="C3" s="25">
        <f>C1-C2</f>
        <v>2447406</v>
      </c>
      <c r="D3" s="67" t="s">
        <v>165</v>
      </c>
      <c r="E3" s="25"/>
      <c r="G3" s="57"/>
      <c r="H3" s="23"/>
      <c r="I3" s="23"/>
      <c r="J3" s="57"/>
      <c r="K3" s="23"/>
      <c r="L3" s="134"/>
      <c r="M3" s="65"/>
      <c r="N3" s="42"/>
      <c r="O3" s="20"/>
      <c r="P3" s="20"/>
      <c r="Q3" s="20"/>
      <c r="R3" s="20"/>
      <c r="S3" s="20"/>
      <c r="T3" s="20"/>
    </row>
    <row r="4" spans="1:20" s="21" customFormat="1">
      <c r="A4" s="54"/>
      <c r="B4" s="20"/>
      <c r="C4" s="22"/>
      <c r="D4" s="22"/>
      <c r="E4" s="22"/>
      <c r="F4" s="67"/>
      <c r="G4" s="57"/>
      <c r="H4" s="23"/>
      <c r="I4" s="23"/>
      <c r="J4" s="57"/>
      <c r="K4" s="23"/>
      <c r="L4" s="134"/>
      <c r="M4" s="65"/>
      <c r="N4" s="42"/>
      <c r="O4" s="20"/>
      <c r="P4" s="20"/>
      <c r="Q4" s="20"/>
      <c r="R4" s="20"/>
      <c r="S4" s="20"/>
      <c r="T4" s="20"/>
    </row>
    <row r="5" spans="1:20">
      <c r="A5" s="45"/>
      <c r="B5" s="21"/>
      <c r="C5" s="20"/>
      <c r="D5" s="20"/>
      <c r="E5" s="20"/>
      <c r="F5" s="67"/>
      <c r="G5" s="57"/>
      <c r="H5" s="23"/>
      <c r="I5" s="23"/>
      <c r="J5" s="57"/>
      <c r="K5" s="23"/>
      <c r="L5" s="133"/>
      <c r="M5" s="67"/>
      <c r="N5" s="42"/>
      <c r="O5" s="20"/>
      <c r="P5" s="20"/>
      <c r="Q5" s="20"/>
      <c r="R5" s="20"/>
      <c r="S5" s="20"/>
      <c r="T5" s="20"/>
    </row>
    <row r="6" spans="1:20" s="12" customFormat="1">
      <c r="A6" s="45" t="s">
        <v>215</v>
      </c>
      <c r="B6" s="20" t="s">
        <v>242</v>
      </c>
      <c r="C6" s="20" t="s">
        <v>197</v>
      </c>
      <c r="D6" s="22" t="s">
        <v>282</v>
      </c>
      <c r="E6" s="20" t="s">
        <v>268</v>
      </c>
      <c r="F6" s="65" t="s">
        <v>151</v>
      </c>
      <c r="G6" s="77" t="s">
        <v>30</v>
      </c>
      <c r="H6" s="24" t="s">
        <v>74</v>
      </c>
      <c r="I6" s="24" t="s">
        <v>218</v>
      </c>
      <c r="J6" s="77" t="s">
        <v>19</v>
      </c>
      <c r="K6" s="24" t="s">
        <v>252</v>
      </c>
      <c r="L6" s="134" t="s">
        <v>168</v>
      </c>
      <c r="M6" s="65" t="s">
        <v>267</v>
      </c>
      <c r="N6" s="42" t="s">
        <v>148</v>
      </c>
      <c r="O6" s="20"/>
      <c r="P6" s="20"/>
      <c r="Q6" s="20"/>
      <c r="R6" s="20"/>
      <c r="S6" s="20"/>
      <c r="T6" s="20"/>
    </row>
    <row r="7" spans="1:20" s="20" customFormat="1">
      <c r="A7" s="45" t="s">
        <v>281</v>
      </c>
      <c r="B7" s="21"/>
      <c r="D7" s="22"/>
      <c r="E7" s="22"/>
      <c r="F7" s="65" t="s">
        <v>259</v>
      </c>
      <c r="G7" s="77" t="s">
        <v>259</v>
      </c>
      <c r="H7" s="24" t="s">
        <v>34</v>
      </c>
      <c r="I7" s="24" t="s">
        <v>102</v>
      </c>
      <c r="J7" s="77" t="s">
        <v>259</v>
      </c>
      <c r="K7" s="24" t="s">
        <v>102</v>
      </c>
      <c r="L7" s="134" t="s">
        <v>259</v>
      </c>
      <c r="M7" s="65" t="s">
        <v>259</v>
      </c>
      <c r="N7" s="42" t="s">
        <v>21</v>
      </c>
    </row>
    <row r="8" spans="1:20" s="12" customFormat="1" ht="11.25" thickBot="1">
      <c r="A8" s="46" t="s">
        <v>207</v>
      </c>
      <c r="B8" s="15"/>
      <c r="C8" s="15"/>
      <c r="D8" s="15"/>
      <c r="E8" s="15"/>
      <c r="F8" s="64"/>
      <c r="G8" s="70"/>
      <c r="H8" s="18"/>
      <c r="I8" s="18"/>
      <c r="J8" s="70"/>
      <c r="K8" s="18"/>
      <c r="L8" s="135"/>
      <c r="M8" s="64"/>
      <c r="N8" s="47" t="s">
        <v>34</v>
      </c>
      <c r="O8" s="20"/>
      <c r="P8" s="20"/>
      <c r="Q8" s="20"/>
      <c r="R8" s="20"/>
      <c r="S8" s="20"/>
      <c r="T8" s="20"/>
    </row>
    <row r="9" spans="1:20" s="21" customFormat="1">
      <c r="A9" s="55" t="s">
        <v>119</v>
      </c>
      <c r="B9" s="1"/>
      <c r="C9" s="1"/>
      <c r="D9" s="1"/>
      <c r="E9" s="1"/>
      <c r="F9" s="61"/>
      <c r="G9" s="56"/>
      <c r="H9" s="3"/>
      <c r="I9" s="3"/>
      <c r="J9" s="56"/>
      <c r="K9" s="3"/>
      <c r="L9" s="136"/>
      <c r="M9" s="61"/>
      <c r="N9" s="3"/>
    </row>
    <row r="10" spans="1:20" s="21" customFormat="1">
      <c r="A10" s="55"/>
      <c r="B10" s="1"/>
      <c r="C10" s="1"/>
      <c r="D10" s="1"/>
      <c r="E10" s="1"/>
      <c r="F10" s="61"/>
      <c r="G10" s="56"/>
      <c r="H10" s="3"/>
      <c r="I10" s="3"/>
      <c r="J10" s="56"/>
      <c r="K10" s="3"/>
      <c r="L10" s="136"/>
      <c r="M10" s="61"/>
      <c r="N10" s="3"/>
    </row>
    <row r="11" spans="1:20" ht="12">
      <c r="A11" s="142">
        <v>2647</v>
      </c>
      <c r="B11" s="1" t="s">
        <v>633</v>
      </c>
      <c r="C11" s="152" t="s">
        <v>301</v>
      </c>
      <c r="D11" s="152" t="s">
        <v>479</v>
      </c>
      <c r="E11" s="152" t="s">
        <v>480</v>
      </c>
      <c r="F11" s="153">
        <v>10000000</v>
      </c>
      <c r="G11" s="163">
        <v>10000000</v>
      </c>
      <c r="H11" s="186">
        <v>36161</v>
      </c>
      <c r="I11" s="154">
        <f t="shared" ref="I11:I19" si="0">H11+35</f>
        <v>36196</v>
      </c>
      <c r="J11" s="30">
        <v>10000000</v>
      </c>
      <c r="K11" s="3">
        <f t="shared" ref="K11:K19" si="1">H11+120</f>
        <v>36281</v>
      </c>
      <c r="L11" s="136">
        <v>10000000</v>
      </c>
      <c r="M11" s="30">
        <v>0</v>
      </c>
      <c r="N11" s="3">
        <v>36284</v>
      </c>
    </row>
    <row r="12" spans="1:20" ht="12">
      <c r="A12" s="142">
        <v>2676</v>
      </c>
      <c r="B12" s="1" t="s">
        <v>633</v>
      </c>
      <c r="C12" s="152" t="s">
        <v>27</v>
      </c>
      <c r="D12" s="152" t="s">
        <v>481</v>
      </c>
      <c r="E12" s="152" t="s">
        <v>361</v>
      </c>
      <c r="F12" s="153">
        <v>15000000</v>
      </c>
      <c r="G12" s="153">
        <v>15000000</v>
      </c>
      <c r="H12" s="186">
        <v>36175</v>
      </c>
      <c r="I12" s="154">
        <f t="shared" si="0"/>
        <v>36210</v>
      </c>
      <c r="J12" s="30">
        <v>15000000</v>
      </c>
      <c r="K12" s="3">
        <f t="shared" si="1"/>
        <v>36295</v>
      </c>
      <c r="L12" s="136">
        <v>12660000</v>
      </c>
      <c r="M12" s="30">
        <f>J12-L12</f>
        <v>2340000</v>
      </c>
      <c r="N12" s="3">
        <v>36299</v>
      </c>
    </row>
    <row r="13" spans="1:20" ht="12">
      <c r="A13" s="142">
        <v>2662</v>
      </c>
      <c r="B13" s="1" t="s">
        <v>633</v>
      </c>
      <c r="C13" s="152" t="s">
        <v>61</v>
      </c>
      <c r="D13" s="152" t="s">
        <v>482</v>
      </c>
      <c r="E13" s="152" t="s">
        <v>483</v>
      </c>
      <c r="F13" s="153">
        <v>14300000</v>
      </c>
      <c r="G13" s="153">
        <v>14300000</v>
      </c>
      <c r="H13" s="186">
        <v>36168</v>
      </c>
      <c r="I13" s="154">
        <f t="shared" si="0"/>
        <v>36203</v>
      </c>
      <c r="J13" s="166">
        <v>14300000</v>
      </c>
      <c r="K13" s="3">
        <f t="shared" si="1"/>
        <v>36288</v>
      </c>
      <c r="L13" s="136">
        <v>14300000</v>
      </c>
      <c r="M13" s="243">
        <v>0</v>
      </c>
      <c r="N13" s="3">
        <v>36281</v>
      </c>
    </row>
    <row r="14" spans="1:20" ht="12">
      <c r="A14" s="142">
        <v>2685</v>
      </c>
      <c r="B14" s="1" t="s">
        <v>627</v>
      </c>
      <c r="C14" s="152" t="s">
        <v>27</v>
      </c>
      <c r="D14" s="152" t="s">
        <v>484</v>
      </c>
      <c r="E14" s="152" t="s">
        <v>361</v>
      </c>
      <c r="F14" s="153">
        <v>15000000</v>
      </c>
      <c r="G14" s="153">
        <v>15000000</v>
      </c>
      <c r="H14" s="186">
        <v>36183</v>
      </c>
      <c r="I14" s="154">
        <f t="shared" si="0"/>
        <v>36218</v>
      </c>
      <c r="J14" s="30"/>
      <c r="K14" s="3">
        <f t="shared" si="1"/>
        <v>36303</v>
      </c>
      <c r="M14" s="30">
        <v>15000000</v>
      </c>
      <c r="N14" s="3">
        <v>36221</v>
      </c>
    </row>
    <row r="15" spans="1:20" s="198" customFormat="1" ht="12">
      <c r="A15" s="197">
        <v>39</v>
      </c>
      <c r="B15" s="198" t="s">
        <v>627</v>
      </c>
      <c r="C15" s="197" t="s">
        <v>27</v>
      </c>
      <c r="D15" s="197" t="s">
        <v>485</v>
      </c>
      <c r="E15" s="197" t="s">
        <v>361</v>
      </c>
      <c r="F15" s="199">
        <v>15000000</v>
      </c>
      <c r="G15" s="203"/>
      <c r="H15" s="208">
        <v>36189</v>
      </c>
      <c r="I15" s="204">
        <f t="shared" si="0"/>
        <v>36224</v>
      </c>
      <c r="J15" s="205"/>
      <c r="K15" s="206">
        <f t="shared" si="1"/>
        <v>36309</v>
      </c>
      <c r="L15" s="207"/>
      <c r="M15" s="205"/>
      <c r="N15" s="206"/>
    </row>
    <row r="16" spans="1:20" ht="12">
      <c r="A16" s="142">
        <v>2702</v>
      </c>
      <c r="B16" s="1" t="s">
        <v>633</v>
      </c>
      <c r="C16" s="152" t="s">
        <v>78</v>
      </c>
      <c r="D16" s="152" t="s">
        <v>486</v>
      </c>
      <c r="E16" s="152" t="s">
        <v>367</v>
      </c>
      <c r="F16" s="153">
        <v>14394115</v>
      </c>
      <c r="G16" s="153">
        <v>14394115</v>
      </c>
      <c r="H16" s="186">
        <v>36195</v>
      </c>
      <c r="I16" s="154">
        <f t="shared" si="0"/>
        <v>36230</v>
      </c>
      <c r="J16" s="153">
        <v>14394115</v>
      </c>
      <c r="K16" s="3">
        <f t="shared" si="1"/>
        <v>36315</v>
      </c>
      <c r="L16" s="136">
        <v>13350000</v>
      </c>
      <c r="M16" s="30">
        <f>J16-L16</f>
        <v>1044115</v>
      </c>
      <c r="N16" s="3">
        <v>36316</v>
      </c>
    </row>
    <row r="17" spans="1:14" ht="12">
      <c r="A17" s="142">
        <v>2707</v>
      </c>
      <c r="B17" s="1" t="s">
        <v>633</v>
      </c>
      <c r="C17" s="152" t="s">
        <v>78</v>
      </c>
      <c r="D17" s="152" t="s">
        <v>487</v>
      </c>
      <c r="E17" s="152" t="s">
        <v>367</v>
      </c>
      <c r="F17" s="153">
        <v>12365792</v>
      </c>
      <c r="G17" s="259">
        <v>12365792</v>
      </c>
      <c r="H17" s="186">
        <v>36224</v>
      </c>
      <c r="I17" s="154">
        <f t="shared" si="0"/>
        <v>36259</v>
      </c>
      <c r="J17" s="163">
        <v>12365792</v>
      </c>
      <c r="K17" s="3">
        <f t="shared" si="1"/>
        <v>36344</v>
      </c>
      <c r="L17" s="136">
        <v>11230000</v>
      </c>
      <c r="M17" s="136">
        <f>J17-L17</f>
        <v>1135792</v>
      </c>
      <c r="N17" s="3">
        <v>36347</v>
      </c>
    </row>
    <row r="18" spans="1:14" ht="12">
      <c r="A18">
        <v>68</v>
      </c>
      <c r="B18" s="1" t="s">
        <v>621</v>
      </c>
      <c r="C18" t="s">
        <v>78</v>
      </c>
      <c r="D18" t="s">
        <v>488</v>
      </c>
      <c r="E18" t="s">
        <v>367</v>
      </c>
      <c r="F18" s="112">
        <v>8000000</v>
      </c>
      <c r="H18" s="182"/>
      <c r="I18" s="154"/>
      <c r="J18" s="152"/>
      <c r="M18" s="30"/>
      <c r="N18" s="3"/>
    </row>
    <row r="19" spans="1:14" ht="12">
      <c r="A19" s="142">
        <v>2732</v>
      </c>
      <c r="B19" s="1" t="s">
        <v>633</v>
      </c>
      <c r="C19" s="152" t="s">
        <v>27</v>
      </c>
      <c r="D19" s="152" t="s">
        <v>489</v>
      </c>
      <c r="E19" s="152" t="s">
        <v>361</v>
      </c>
      <c r="F19" s="153">
        <v>15000000</v>
      </c>
      <c r="G19" s="153">
        <v>15000000</v>
      </c>
      <c r="H19" s="182">
        <v>36321</v>
      </c>
      <c r="I19" s="154">
        <f t="shared" si="0"/>
        <v>36356</v>
      </c>
      <c r="J19" s="258">
        <v>15000000</v>
      </c>
      <c r="K19" s="3">
        <f t="shared" si="1"/>
        <v>36441</v>
      </c>
      <c r="L19" s="136">
        <v>15000000</v>
      </c>
      <c r="M19" s="56">
        <v>0</v>
      </c>
      <c r="N19" s="3">
        <v>36445</v>
      </c>
    </row>
    <row r="20" spans="1:14" s="12" customFormat="1" ht="12">
      <c r="A20">
        <v>102</v>
      </c>
      <c r="B20" s="1" t="s">
        <v>621</v>
      </c>
      <c r="C20" t="s">
        <v>27</v>
      </c>
      <c r="D20" t="s">
        <v>490</v>
      </c>
      <c r="E20" t="s">
        <v>361</v>
      </c>
      <c r="F20" s="112">
        <v>15000000</v>
      </c>
      <c r="G20" s="31"/>
      <c r="H20" s="185"/>
      <c r="I20" s="141"/>
      <c r="J20" s="145"/>
      <c r="K20" s="4"/>
      <c r="L20" s="137"/>
      <c r="M20" s="69"/>
      <c r="N20" s="4"/>
    </row>
    <row r="21" spans="1:14" ht="12">
      <c r="A21">
        <v>117</v>
      </c>
      <c r="B21" s="1" t="s">
        <v>621</v>
      </c>
      <c r="C21" t="s">
        <v>27</v>
      </c>
      <c r="D21" t="s">
        <v>491</v>
      </c>
      <c r="E21" t="s">
        <v>361</v>
      </c>
      <c r="F21" s="112">
        <v>15000000</v>
      </c>
      <c r="H21" s="80"/>
      <c r="I21" s="112"/>
      <c r="J21"/>
      <c r="M21" s="56"/>
      <c r="N21" s="3"/>
    </row>
    <row r="22" spans="1:14" s="12" customFormat="1" ht="12">
      <c r="A22">
        <v>118</v>
      </c>
      <c r="B22" s="1" t="s">
        <v>627</v>
      </c>
      <c r="C22" t="s">
        <v>69</v>
      </c>
      <c r="D22" t="s">
        <v>492</v>
      </c>
      <c r="E22" t="s">
        <v>363</v>
      </c>
      <c r="F22" s="112">
        <v>15000000</v>
      </c>
      <c r="G22" s="131"/>
      <c r="H22" s="185"/>
      <c r="I22" s="141"/>
      <c r="J22" s="145"/>
      <c r="K22" s="4"/>
      <c r="L22" s="137"/>
      <c r="M22" s="69"/>
      <c r="N22" s="4"/>
    </row>
    <row r="23" spans="1:14" s="12" customFormat="1" ht="12">
      <c r="A23">
        <v>119</v>
      </c>
      <c r="B23" s="1" t="s">
        <v>627</v>
      </c>
      <c r="C23" t="s">
        <v>69</v>
      </c>
      <c r="D23" t="s">
        <v>493</v>
      </c>
      <c r="E23" t="s">
        <v>494</v>
      </c>
      <c r="F23" s="112">
        <v>13600000</v>
      </c>
      <c r="G23" s="131"/>
      <c r="H23" s="185"/>
      <c r="I23" s="141"/>
      <c r="J23" s="145"/>
      <c r="K23" s="4"/>
      <c r="L23" s="137"/>
      <c r="M23" s="69"/>
      <c r="N23" s="4"/>
    </row>
    <row r="24" spans="1:14" ht="12">
      <c r="A24" s="142">
        <v>2750</v>
      </c>
      <c r="B24" s="1" t="s">
        <v>633</v>
      </c>
      <c r="C24" s="152" t="s">
        <v>27</v>
      </c>
      <c r="D24" s="152" t="s">
        <v>694</v>
      </c>
      <c r="E24" s="152" t="s">
        <v>361</v>
      </c>
      <c r="F24" s="153">
        <v>15000000</v>
      </c>
      <c r="G24" s="153">
        <v>15000000</v>
      </c>
      <c r="H24" s="3">
        <v>36392</v>
      </c>
      <c r="I24" s="154">
        <f>H24+35</f>
        <v>36427</v>
      </c>
      <c r="J24" s="163">
        <v>15000000</v>
      </c>
      <c r="K24" s="3">
        <f>H24+120</f>
        <v>36512</v>
      </c>
      <c r="L24" s="136">
        <v>14740000</v>
      </c>
      <c r="M24" s="61">
        <f>J24-L24</f>
        <v>260000</v>
      </c>
      <c r="N24" s="3">
        <v>36526</v>
      </c>
    </row>
    <row r="25" spans="1:14" ht="12">
      <c r="A25" s="142">
        <v>2751</v>
      </c>
      <c r="B25" s="1" t="s">
        <v>627</v>
      </c>
      <c r="C25" s="152" t="s">
        <v>82</v>
      </c>
      <c r="D25" s="152" t="s">
        <v>495</v>
      </c>
      <c r="E25" s="152" t="s">
        <v>150</v>
      </c>
      <c r="F25" s="153">
        <v>13000000</v>
      </c>
      <c r="G25" s="153">
        <v>13000000</v>
      </c>
      <c r="H25" s="3">
        <v>36392</v>
      </c>
      <c r="I25" s="154">
        <f>H25+35</f>
        <v>36427</v>
      </c>
      <c r="J25" s="163"/>
      <c r="K25" s="3">
        <f>H25+120</f>
        <v>36512</v>
      </c>
      <c r="M25" s="61">
        <v>13000000</v>
      </c>
      <c r="N25" s="3">
        <v>36428</v>
      </c>
    </row>
    <row r="26" spans="1:14" ht="12">
      <c r="A26" s="152">
        <v>2752</v>
      </c>
      <c r="B26" s="1" t="s">
        <v>627</v>
      </c>
      <c r="C26" s="152" t="s">
        <v>27</v>
      </c>
      <c r="D26" s="152" t="s">
        <v>496</v>
      </c>
      <c r="E26" s="152" t="s">
        <v>361</v>
      </c>
      <c r="F26" s="153">
        <v>15000000</v>
      </c>
      <c r="G26" s="30">
        <v>15000000</v>
      </c>
      <c r="H26" s="3">
        <v>36392</v>
      </c>
      <c r="I26" s="154">
        <f>H26+35</f>
        <v>36427</v>
      </c>
      <c r="J26" s="152"/>
      <c r="K26" s="3">
        <f>H26+120</f>
        <v>36512</v>
      </c>
      <c r="M26" s="61">
        <v>15000000</v>
      </c>
      <c r="N26" s="3">
        <v>36428</v>
      </c>
    </row>
    <row r="27" spans="1:14" s="12" customFormat="1" ht="12">
      <c r="A27">
        <v>152</v>
      </c>
      <c r="B27" s="1" t="s">
        <v>627</v>
      </c>
      <c r="C27" t="s">
        <v>27</v>
      </c>
      <c r="D27" t="s">
        <v>497</v>
      </c>
      <c r="E27" t="s">
        <v>361</v>
      </c>
      <c r="F27" s="112">
        <v>14805000</v>
      </c>
      <c r="G27" s="131"/>
      <c r="H27" s="185"/>
      <c r="I27" s="141"/>
      <c r="J27" s="145"/>
      <c r="K27" s="4"/>
      <c r="L27" s="137"/>
      <c r="M27" s="69"/>
      <c r="N27" s="4"/>
    </row>
    <row r="28" spans="1:14" ht="12">
      <c r="A28" s="142">
        <v>2753</v>
      </c>
      <c r="B28" s="1" t="s">
        <v>633</v>
      </c>
      <c r="C28" s="152" t="s">
        <v>27</v>
      </c>
      <c r="D28" s="152" t="s">
        <v>498</v>
      </c>
      <c r="E28" s="152" t="s">
        <v>361</v>
      </c>
      <c r="F28" s="153">
        <v>15000000</v>
      </c>
      <c r="G28" s="30">
        <v>15000000</v>
      </c>
      <c r="H28" s="3">
        <v>36392</v>
      </c>
      <c r="I28" s="154">
        <f>H28+35</f>
        <v>36427</v>
      </c>
      <c r="J28" s="163">
        <v>15000000</v>
      </c>
      <c r="K28" s="3">
        <f>H28+120</f>
        <v>36512</v>
      </c>
      <c r="L28" s="136">
        <v>14145000</v>
      </c>
      <c r="M28" s="136">
        <f>J28-L28</f>
        <v>855000</v>
      </c>
      <c r="N28" s="3">
        <v>36523</v>
      </c>
    </row>
    <row r="29" spans="1:14" ht="12">
      <c r="A29" s="142">
        <v>2756</v>
      </c>
      <c r="B29" s="1" t="s">
        <v>621</v>
      </c>
      <c r="C29" s="152" t="s">
        <v>61</v>
      </c>
      <c r="D29" s="152" t="s">
        <v>499</v>
      </c>
      <c r="E29" s="152" t="s">
        <v>483</v>
      </c>
      <c r="F29" s="153">
        <v>14300000</v>
      </c>
      <c r="G29" s="30">
        <v>14300000</v>
      </c>
      <c r="H29" s="3">
        <v>36392</v>
      </c>
      <c r="I29" s="154">
        <f>H29+35</f>
        <v>36427</v>
      </c>
      <c r="J29" s="163">
        <v>14300000</v>
      </c>
      <c r="K29" s="3">
        <f>H29+120</f>
        <v>36512</v>
      </c>
      <c r="M29" s="56">
        <v>14300000</v>
      </c>
      <c r="N29" s="3">
        <v>36463</v>
      </c>
    </row>
    <row r="30" spans="1:14" ht="12">
      <c r="A30">
        <v>181</v>
      </c>
      <c r="B30" s="1" t="s">
        <v>621</v>
      </c>
      <c r="C30" t="s">
        <v>78</v>
      </c>
      <c r="D30" t="s">
        <v>500</v>
      </c>
      <c r="E30" t="s">
        <v>367</v>
      </c>
      <c r="F30" s="112">
        <v>14394115</v>
      </c>
      <c r="I30" s="112"/>
      <c r="J30"/>
      <c r="M30" s="56"/>
      <c r="N30" s="3"/>
    </row>
    <row r="31" spans="1:14" ht="12">
      <c r="A31">
        <v>186</v>
      </c>
      <c r="B31" s="1" t="s">
        <v>627</v>
      </c>
      <c r="C31" t="s">
        <v>301</v>
      </c>
      <c r="D31" t="s">
        <v>501</v>
      </c>
      <c r="E31" t="s">
        <v>502</v>
      </c>
      <c r="F31" s="112">
        <v>10000000</v>
      </c>
      <c r="I31" s="112"/>
      <c r="J31"/>
      <c r="M31" s="56"/>
      <c r="N31" s="3"/>
    </row>
    <row r="32" spans="1:14" ht="12">
      <c r="A32">
        <v>198</v>
      </c>
      <c r="B32" s="1" t="s">
        <v>621</v>
      </c>
      <c r="C32" t="s">
        <v>27</v>
      </c>
      <c r="D32" t="s">
        <v>503</v>
      </c>
      <c r="E32" t="s">
        <v>361</v>
      </c>
      <c r="F32" s="112">
        <v>15000000</v>
      </c>
      <c r="I32" s="112"/>
      <c r="J32"/>
      <c r="M32" s="56"/>
    </row>
    <row r="33" spans="1:14" ht="12">
      <c r="A33">
        <v>203</v>
      </c>
      <c r="B33" s="1" t="s">
        <v>627</v>
      </c>
      <c r="C33" t="s">
        <v>27</v>
      </c>
      <c r="D33" t="s">
        <v>504</v>
      </c>
      <c r="E33" t="s">
        <v>361</v>
      </c>
      <c r="F33" s="112">
        <v>15000000</v>
      </c>
      <c r="I33" s="112"/>
      <c r="J33"/>
      <c r="M33" s="56"/>
    </row>
    <row r="34" spans="1:14" ht="12">
      <c r="A34">
        <v>213</v>
      </c>
      <c r="B34" s="1" t="s">
        <v>621</v>
      </c>
      <c r="C34" t="s">
        <v>27</v>
      </c>
      <c r="D34" t="s">
        <v>505</v>
      </c>
      <c r="E34" t="s">
        <v>361</v>
      </c>
      <c r="F34" s="112">
        <v>15000000</v>
      </c>
      <c r="I34" s="112"/>
      <c r="J34"/>
      <c r="M34" s="56"/>
    </row>
    <row r="35" spans="1:14" ht="12">
      <c r="A35">
        <v>227</v>
      </c>
      <c r="B35" s="1" t="s">
        <v>627</v>
      </c>
      <c r="C35" t="s">
        <v>69</v>
      </c>
      <c r="D35" t="s">
        <v>506</v>
      </c>
      <c r="E35" t="s">
        <v>507</v>
      </c>
      <c r="F35" s="112">
        <v>13800000</v>
      </c>
      <c r="I35" s="112"/>
      <c r="J35"/>
      <c r="M35" s="56"/>
      <c r="N35" s="3"/>
    </row>
    <row r="36" spans="1:14" ht="12">
      <c r="A36">
        <v>251</v>
      </c>
      <c r="B36" s="1" t="s">
        <v>627</v>
      </c>
      <c r="C36" t="s">
        <v>82</v>
      </c>
      <c r="D36" t="s">
        <v>508</v>
      </c>
      <c r="E36" t="s">
        <v>150</v>
      </c>
      <c r="F36" s="112">
        <v>7000000</v>
      </c>
      <c r="I36" s="112"/>
      <c r="J36"/>
      <c r="M36" s="56"/>
    </row>
    <row r="37" spans="1:14" ht="12">
      <c r="A37">
        <v>255</v>
      </c>
      <c r="B37" s="1" t="s">
        <v>627</v>
      </c>
      <c r="C37" t="s">
        <v>27</v>
      </c>
      <c r="D37" t="s">
        <v>509</v>
      </c>
      <c r="E37" t="s">
        <v>361</v>
      </c>
      <c r="F37" s="112">
        <v>15000000</v>
      </c>
      <c r="I37" s="112"/>
      <c r="J37"/>
      <c r="M37" s="56"/>
    </row>
    <row r="38" spans="1:14" ht="12">
      <c r="A38">
        <v>270</v>
      </c>
      <c r="B38" s="1" t="s">
        <v>627</v>
      </c>
      <c r="C38" t="s">
        <v>27</v>
      </c>
      <c r="D38" t="s">
        <v>510</v>
      </c>
      <c r="E38" t="s">
        <v>361</v>
      </c>
      <c r="F38" s="112">
        <v>15000000</v>
      </c>
      <c r="I38" s="112"/>
      <c r="J38"/>
      <c r="M38" s="56"/>
    </row>
    <row r="39" spans="1:14" ht="12">
      <c r="A39">
        <v>284</v>
      </c>
      <c r="B39" s="1" t="s">
        <v>621</v>
      </c>
      <c r="C39" t="s">
        <v>27</v>
      </c>
      <c r="D39" t="s">
        <v>511</v>
      </c>
      <c r="E39" t="s">
        <v>361</v>
      </c>
      <c r="F39" s="112">
        <v>15000000</v>
      </c>
      <c r="I39" s="112"/>
      <c r="J39"/>
      <c r="M39" s="56"/>
      <c r="N39" s="3"/>
    </row>
    <row r="40" spans="1:14" ht="12">
      <c r="A40"/>
      <c r="C40"/>
      <c r="D40"/>
      <c r="E40"/>
      <c r="F40" s="112"/>
      <c r="I40" s="112"/>
      <c r="J40"/>
      <c r="M40" s="56"/>
      <c r="N40" s="3"/>
    </row>
    <row r="41" spans="1:14" ht="12">
      <c r="A41" s="55" t="s">
        <v>3</v>
      </c>
      <c r="C41"/>
      <c r="D41"/>
      <c r="E41"/>
      <c r="F41" s="112"/>
      <c r="I41" s="112"/>
      <c r="J41"/>
      <c r="M41" s="56"/>
      <c r="N41" s="3"/>
    </row>
    <row r="42" spans="1:14" ht="12">
      <c r="A42"/>
      <c r="C42"/>
      <c r="D42"/>
      <c r="E42"/>
      <c r="F42" s="112"/>
      <c r="G42" s="1"/>
      <c r="I42" s="112"/>
      <c r="J42"/>
      <c r="M42" s="56"/>
      <c r="N42" s="3"/>
    </row>
    <row r="43" spans="1:14" ht="12">
      <c r="A43">
        <v>21</v>
      </c>
      <c r="B43" s="1" t="s">
        <v>621</v>
      </c>
      <c r="C43" t="s">
        <v>78</v>
      </c>
      <c r="D43" t="s">
        <v>512</v>
      </c>
      <c r="E43" t="s">
        <v>367</v>
      </c>
      <c r="F43" s="112">
        <v>13800000</v>
      </c>
      <c r="G43" s="1"/>
      <c r="I43" s="112"/>
      <c r="J43"/>
      <c r="M43" s="56"/>
      <c r="N43" s="3"/>
    </row>
    <row r="44" spans="1:14" ht="12">
      <c r="A44" s="142">
        <v>2780</v>
      </c>
      <c r="B44" s="1" t="s">
        <v>633</v>
      </c>
      <c r="C44" s="152" t="s">
        <v>78</v>
      </c>
      <c r="D44" s="152" t="s">
        <v>513</v>
      </c>
      <c r="E44" s="152" t="s">
        <v>367</v>
      </c>
      <c r="F44" s="153">
        <v>11000000</v>
      </c>
      <c r="G44" s="166">
        <v>11000000</v>
      </c>
      <c r="H44" s="3">
        <v>36438</v>
      </c>
      <c r="I44" s="154">
        <f>H44+35</f>
        <v>36473</v>
      </c>
      <c r="J44" s="163">
        <v>11000000</v>
      </c>
      <c r="K44" s="3">
        <f>H44+120</f>
        <v>36558</v>
      </c>
      <c r="L44" s="136">
        <v>11000000</v>
      </c>
      <c r="M44" s="56">
        <v>0</v>
      </c>
      <c r="N44" s="3">
        <v>36564</v>
      </c>
    </row>
    <row r="45" spans="1:14" ht="12">
      <c r="A45">
        <v>277</v>
      </c>
      <c r="B45" s="1" t="s">
        <v>300</v>
      </c>
      <c r="C45" t="s">
        <v>78</v>
      </c>
      <c r="D45" t="s">
        <v>514</v>
      </c>
      <c r="E45" t="s">
        <v>515</v>
      </c>
      <c r="F45" s="112">
        <v>15000000</v>
      </c>
      <c r="G45" s="1"/>
      <c r="I45" s="112"/>
      <c r="J45"/>
      <c r="M45" s="56"/>
    </row>
    <row r="46" spans="1:14" ht="12">
      <c r="A46" s="20"/>
      <c r="C46" s="50"/>
      <c r="D46" s="56"/>
      <c r="E46" s="69"/>
      <c r="F46" s="1"/>
      <c r="G46" s="1"/>
      <c r="I46" s="12"/>
      <c r="M46" s="56"/>
    </row>
    <row r="47" spans="1:14" ht="12">
      <c r="A47" s="21"/>
      <c r="C47" s="50"/>
      <c r="D47" s="50"/>
      <c r="E47" s="50"/>
      <c r="F47" s="56"/>
      <c r="L47" s="168"/>
      <c r="M47" s="56"/>
    </row>
    <row r="48" spans="1:14" s="26" customFormat="1" ht="11.25" thickBot="1">
      <c r="A48" s="21"/>
      <c r="B48" s="21"/>
      <c r="C48" s="21"/>
      <c r="D48" s="21"/>
      <c r="E48" s="21"/>
      <c r="F48" s="66"/>
      <c r="G48" s="75"/>
      <c r="H48" s="3"/>
      <c r="I48" s="3"/>
      <c r="J48" s="75"/>
      <c r="K48" s="3"/>
      <c r="L48" s="138"/>
      <c r="M48" s="83"/>
      <c r="N48" s="4"/>
    </row>
    <row r="49" spans="1:20" s="26" customFormat="1">
      <c r="A49" s="21"/>
      <c r="B49" s="21"/>
      <c r="C49" s="21"/>
      <c r="D49" s="21"/>
      <c r="E49" s="21"/>
      <c r="F49" s="67"/>
      <c r="G49" s="72"/>
      <c r="H49" s="3"/>
      <c r="I49" s="3"/>
      <c r="J49" s="72"/>
      <c r="K49" s="3"/>
      <c r="L49" s="133"/>
      <c r="M49" s="57"/>
      <c r="N49" s="4"/>
    </row>
    <row r="50" spans="1:20" s="26" customFormat="1">
      <c r="A50" s="1"/>
      <c r="B50" s="1"/>
      <c r="D50" s="12"/>
      <c r="E50" s="12" t="s">
        <v>103</v>
      </c>
      <c r="F50" s="56">
        <f>SUM(F9:F47)</f>
        <v>439759022</v>
      </c>
      <c r="G50" s="76">
        <f>SUM(G9:G47)</f>
        <v>179359907</v>
      </c>
      <c r="H50" s="3"/>
      <c r="I50" s="3"/>
      <c r="J50" s="76">
        <f>SUM(J9:J48)</f>
        <v>136359907</v>
      </c>
      <c r="K50" s="3"/>
      <c r="L50" s="136">
        <f>SUM(L9:L48)</f>
        <v>116425000</v>
      </c>
      <c r="M50" s="56">
        <f>SUM(M9:M48)</f>
        <v>62934907</v>
      </c>
      <c r="N50" s="4"/>
    </row>
    <row r="51" spans="1:20">
      <c r="D51" s="12"/>
      <c r="E51" s="12"/>
      <c r="G51" s="76"/>
      <c r="H51" s="3"/>
      <c r="I51" s="3"/>
      <c r="J51" s="76"/>
      <c r="N51" s="4"/>
      <c r="O51" s="5"/>
      <c r="P51" s="5"/>
      <c r="Q51" s="5"/>
      <c r="R51" s="5"/>
      <c r="S51" s="5"/>
      <c r="T51" s="5"/>
    </row>
    <row r="52" spans="1:20">
      <c r="A52" s="12"/>
      <c r="B52" s="12"/>
      <c r="D52" s="12"/>
      <c r="E52" s="12" t="s">
        <v>264</v>
      </c>
      <c r="F52" s="56">
        <f>SUM(F50-G50)</f>
        <v>260399115</v>
      </c>
      <c r="G52" s="79"/>
      <c r="H52" s="4"/>
      <c r="I52" s="4"/>
      <c r="J52" s="73"/>
      <c r="K52" s="4"/>
      <c r="L52" s="137"/>
      <c r="M52" s="63"/>
      <c r="N52" s="4"/>
      <c r="O52" s="5"/>
      <c r="P52" s="5"/>
      <c r="Q52" s="5"/>
      <c r="R52" s="5"/>
      <c r="S52" s="5"/>
      <c r="T52" s="5"/>
    </row>
    <row r="53" spans="1:20">
      <c r="A53" s="12"/>
      <c r="B53" s="12"/>
      <c r="D53" s="12"/>
      <c r="E53" s="12"/>
      <c r="G53" s="73"/>
      <c r="H53" s="4"/>
      <c r="I53" s="4"/>
      <c r="J53" s="73"/>
      <c r="K53" s="4"/>
      <c r="L53" s="137"/>
      <c r="M53" s="63"/>
      <c r="N53" s="4"/>
      <c r="O53" s="5"/>
      <c r="P53" s="5"/>
      <c r="Q53" s="5"/>
      <c r="R53" s="5"/>
      <c r="S53" s="5"/>
      <c r="T53" s="5"/>
    </row>
    <row r="54" spans="1:20">
      <c r="A54" s="12"/>
      <c r="B54" s="12"/>
      <c r="D54" s="12"/>
      <c r="E54" s="12" t="s">
        <v>37</v>
      </c>
      <c r="F54" s="56">
        <f>+C1-G50+M50</f>
        <v>-42261197</v>
      </c>
      <c r="G54" s="73">
        <f>F54-C3</f>
        <v>-44708603</v>
      </c>
      <c r="H54" s="4"/>
      <c r="I54" s="4"/>
      <c r="J54" s="73"/>
      <c r="K54" s="4"/>
      <c r="L54" s="137"/>
      <c r="M54" s="63"/>
      <c r="N54" s="4"/>
      <c r="O54" s="5"/>
      <c r="P54" s="5"/>
      <c r="Q54" s="5"/>
      <c r="R54" s="5"/>
      <c r="S54" s="5"/>
      <c r="T54" s="5"/>
    </row>
    <row r="55" spans="1:20">
      <c r="H55" s="76"/>
    </row>
    <row r="56" spans="1:20">
      <c r="B56" s="80"/>
      <c r="C56" s="81"/>
      <c r="D56" s="81"/>
      <c r="E56" s="81"/>
      <c r="F56" s="56"/>
      <c r="G56" s="385"/>
      <c r="H56" s="385"/>
    </row>
    <row r="58" spans="1:20">
      <c r="C58" s="12"/>
      <c r="D58" s="12"/>
      <c r="E58" s="12"/>
      <c r="F58" s="56"/>
    </row>
    <row r="62" spans="1:20">
      <c r="A62" s="386"/>
      <c r="B62" s="386"/>
      <c r="C62" s="386"/>
      <c r="D62" s="386"/>
      <c r="E62" s="386"/>
      <c r="F62" s="386"/>
      <c r="G62" s="386"/>
      <c r="H62" s="386"/>
      <c r="I62" s="386"/>
      <c r="J62" s="386"/>
    </row>
    <row r="64" spans="1:20">
      <c r="A64" s="390"/>
      <c r="B64" s="390"/>
      <c r="C64" s="390"/>
      <c r="D64" s="390"/>
      <c r="E64" s="390"/>
      <c r="F64" s="390"/>
      <c r="G64" s="390"/>
      <c r="H64" s="390"/>
      <c r="I64" s="390"/>
      <c r="J64" s="390"/>
      <c r="K64" s="390"/>
      <c r="L64" s="390"/>
      <c r="M64" s="390"/>
      <c r="N64" s="390"/>
    </row>
    <row r="66" spans="1:14">
      <c r="A66" s="389"/>
      <c r="B66" s="389"/>
      <c r="C66" s="389"/>
      <c r="D66" s="389"/>
      <c r="E66" s="389"/>
      <c r="F66" s="389"/>
      <c r="G66" s="389"/>
      <c r="H66" s="389"/>
      <c r="I66" s="389"/>
      <c r="J66" s="389"/>
      <c r="K66" s="389"/>
      <c r="L66" s="389"/>
      <c r="M66" s="389"/>
      <c r="N66" s="389"/>
    </row>
    <row r="68" spans="1:14">
      <c r="A68" s="389"/>
      <c r="B68" s="389"/>
      <c r="C68" s="389"/>
      <c r="D68" s="389"/>
      <c r="E68" s="389"/>
      <c r="F68" s="389"/>
      <c r="G68" s="389"/>
      <c r="H68" s="389"/>
      <c r="I68" s="389"/>
      <c r="J68" s="389"/>
      <c r="K68" s="389"/>
      <c r="L68" s="389"/>
      <c r="M68" s="389"/>
      <c r="N68" s="389"/>
    </row>
  </sheetData>
  <mergeCells count="5">
    <mergeCell ref="A68:N68"/>
    <mergeCell ref="G56:H56"/>
    <mergeCell ref="A62:J62"/>
    <mergeCell ref="A64:N64"/>
    <mergeCell ref="A66:N66"/>
  </mergeCells>
  <phoneticPr fontId="0" type="noConversion"/>
  <pageMargins left="0.75" right="0.75" top="1" bottom="1" header="0.5" footer="0.5"/>
  <pageSetup scale="53" fitToHeight="3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workbookViewId="0">
      <selection activeCell="E42" sqref="E42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3" style="136" customWidth="1"/>
    <col min="7" max="7" width="12.7109375" style="30" customWidth="1"/>
    <col min="8" max="8" width="13.7109375" style="1" customWidth="1"/>
    <col min="9" max="9" width="11.42578125" style="1" customWidth="1"/>
    <col min="10" max="10" width="12.5703125" style="56" bestFit="1" customWidth="1"/>
    <col min="11" max="11" width="10.140625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13722558</v>
      </c>
      <c r="D1" s="7"/>
      <c r="E1" s="7"/>
      <c r="F1" s="132"/>
      <c r="G1" s="36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163</v>
      </c>
      <c r="B2" s="20"/>
      <c r="C2" s="22"/>
      <c r="D2" s="22"/>
      <c r="E2" s="22"/>
      <c r="F2" s="133"/>
      <c r="G2" s="34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133"/>
      <c r="G3" s="34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134" t="s">
        <v>151</v>
      </c>
      <c r="G4" s="33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134" t="s">
        <v>259</v>
      </c>
      <c r="G5" s="33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135"/>
      <c r="G6" s="32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3</v>
      </c>
      <c r="B7" s="1"/>
      <c r="C7" s="1"/>
      <c r="D7" s="1"/>
      <c r="E7" s="1"/>
      <c r="F7" s="136"/>
      <c r="G7" s="30"/>
      <c r="H7" s="3"/>
      <c r="I7" s="3"/>
      <c r="J7" s="56"/>
      <c r="K7" s="3"/>
      <c r="L7" s="61"/>
      <c r="M7" s="61"/>
      <c r="N7" s="3"/>
    </row>
    <row r="8" spans="1:20" s="21" customFormat="1">
      <c r="A8" s="55"/>
      <c r="B8" s="1"/>
      <c r="C8" s="1"/>
      <c r="D8" s="1"/>
      <c r="E8" s="1"/>
      <c r="F8" s="136"/>
      <c r="G8" s="30"/>
      <c r="H8" s="3"/>
      <c r="I8" s="3"/>
      <c r="J8" s="56"/>
      <c r="K8" s="3"/>
      <c r="L8" s="61"/>
      <c r="M8" s="61"/>
      <c r="N8" s="3"/>
    </row>
    <row r="9" spans="1:20">
      <c r="A9" s="21">
        <v>168</v>
      </c>
      <c r="B9" s="1" t="s">
        <v>627</v>
      </c>
      <c r="C9" s="1" t="s">
        <v>60</v>
      </c>
      <c r="D9" s="1" t="s">
        <v>516</v>
      </c>
      <c r="E9" s="1" t="s">
        <v>517</v>
      </c>
      <c r="F9" s="136">
        <v>10500000</v>
      </c>
      <c r="H9" s="3">
        <v>36182</v>
      </c>
      <c r="I9" s="3">
        <f>H9+35</f>
        <v>36217</v>
      </c>
      <c r="J9" s="30"/>
      <c r="K9" s="3">
        <f>H9+120</f>
        <v>36302</v>
      </c>
      <c r="L9" s="56"/>
      <c r="M9" s="56"/>
      <c r="N9" s="3"/>
    </row>
    <row r="10" spans="1:20" ht="12">
      <c r="A10" s="21"/>
      <c r="B10" s="12"/>
      <c r="C10" s="50"/>
      <c r="D10" s="50"/>
      <c r="E10" s="50"/>
      <c r="H10" s="3"/>
      <c r="L10" s="56"/>
      <c r="M10" s="56"/>
    </row>
    <row r="11" spans="1:20" ht="12">
      <c r="A11" s="21">
        <v>2725</v>
      </c>
      <c r="B11" s="1" t="s">
        <v>633</v>
      </c>
      <c r="C11" s="268" t="s">
        <v>276</v>
      </c>
      <c r="D11" s="268" t="s">
        <v>678</v>
      </c>
      <c r="E11" s="268" t="s">
        <v>679</v>
      </c>
      <c r="F11" s="136">
        <v>13722558</v>
      </c>
      <c r="G11" s="30">
        <v>13722558</v>
      </c>
      <c r="H11" s="3">
        <v>36309</v>
      </c>
      <c r="I11" s="3">
        <f>H11+35</f>
        <v>36344</v>
      </c>
      <c r="J11" s="30">
        <v>13722558</v>
      </c>
      <c r="K11" s="3">
        <f>H11+120</f>
        <v>36429</v>
      </c>
      <c r="L11" s="136">
        <v>13025000</v>
      </c>
      <c r="M11" s="56">
        <f>J11-L11</f>
        <v>697558</v>
      </c>
      <c r="N11" s="3">
        <v>36431</v>
      </c>
    </row>
    <row r="12" spans="1:20" ht="12">
      <c r="A12" s="21"/>
      <c r="B12" s="12"/>
      <c r="C12" s="50"/>
      <c r="D12" s="50"/>
      <c r="E12" s="50"/>
      <c r="H12" s="3"/>
      <c r="L12" s="56"/>
      <c r="M12" s="56"/>
    </row>
    <row r="13" spans="1:20">
      <c r="A13" s="21"/>
      <c r="H13" s="3"/>
      <c r="I13" s="3"/>
      <c r="K13" s="3"/>
      <c r="L13" s="56"/>
      <c r="M13" s="56"/>
      <c r="N13" s="3"/>
    </row>
    <row r="14" spans="1:20" ht="12">
      <c r="A14" s="21"/>
      <c r="B14" s="12"/>
      <c r="C14" s="50"/>
      <c r="D14" s="50"/>
      <c r="E14" s="50"/>
      <c r="G14" s="31"/>
      <c r="H14" s="3"/>
      <c r="I14" s="12"/>
      <c r="L14" s="56"/>
      <c r="M14" s="56"/>
    </row>
    <row r="15" spans="1:20" ht="12">
      <c r="A15" s="21"/>
      <c r="B15" s="12"/>
      <c r="C15" s="50"/>
      <c r="D15" s="50"/>
      <c r="E15" s="50"/>
      <c r="G15" s="31"/>
      <c r="H15" s="3"/>
      <c r="I15" s="12"/>
      <c r="L15" s="56"/>
      <c r="M15" s="56"/>
    </row>
    <row r="16" spans="1:20" ht="12">
      <c r="A16" s="21"/>
      <c r="B16" s="12"/>
      <c r="C16" s="50"/>
      <c r="D16" s="50"/>
      <c r="E16" s="50"/>
      <c r="G16" s="31"/>
      <c r="H16" s="3"/>
      <c r="I16" s="12"/>
      <c r="L16" s="56"/>
      <c r="M16" s="56"/>
    </row>
    <row r="17" spans="1:20" ht="12">
      <c r="A17" s="21"/>
      <c r="C17" s="50"/>
      <c r="D17" s="50"/>
      <c r="E17" s="50"/>
      <c r="G17" s="31" t="s">
        <v>28</v>
      </c>
      <c r="H17" s="1" t="s">
        <v>28</v>
      </c>
      <c r="I17" s="12" t="s">
        <v>28</v>
      </c>
      <c r="J17" s="56" t="s">
        <v>28</v>
      </c>
      <c r="K17" s="1" t="s">
        <v>28</v>
      </c>
      <c r="L17" s="56" t="s">
        <v>28</v>
      </c>
      <c r="M17" s="56"/>
    </row>
    <row r="18" spans="1:20" ht="12">
      <c r="A18" s="21"/>
      <c r="C18" s="50"/>
      <c r="D18" s="50"/>
      <c r="E18" s="50"/>
      <c r="G18" s="31"/>
      <c r="I18" s="12"/>
      <c r="L18" s="56"/>
      <c r="M18" s="56"/>
    </row>
    <row r="19" spans="1:20" s="26" customFormat="1" ht="11.25" thickBot="1">
      <c r="A19" s="21"/>
      <c r="B19" s="21"/>
      <c r="C19" s="21"/>
      <c r="D19" s="21"/>
      <c r="E19" s="21"/>
      <c r="F19" s="138"/>
      <c r="G19" s="148"/>
      <c r="H19" s="126"/>
      <c r="I19" s="126"/>
      <c r="J19" s="75"/>
      <c r="K19" s="126"/>
      <c r="L19" s="66"/>
      <c r="M19" s="83"/>
      <c r="N19" s="4"/>
    </row>
    <row r="20" spans="1:20" s="26" customFormat="1">
      <c r="A20" s="21"/>
      <c r="B20" s="21"/>
      <c r="C20" s="21"/>
      <c r="D20" s="21"/>
      <c r="E20" s="21"/>
      <c r="F20" s="133"/>
      <c r="G20" s="89"/>
      <c r="H20" s="3"/>
      <c r="I20" s="3"/>
      <c r="J20" s="72"/>
      <c r="K20" s="3"/>
      <c r="L20" s="67"/>
      <c r="M20" s="57"/>
      <c r="N20" s="4"/>
    </row>
    <row r="21" spans="1:20" s="26" customFormat="1">
      <c r="A21" s="1"/>
      <c r="B21" s="1"/>
      <c r="C21" s="12"/>
      <c r="D21" s="12"/>
      <c r="E21" s="12" t="s">
        <v>103</v>
      </c>
      <c r="F21" s="136">
        <f>SUM(F7:F18)</f>
        <v>24222558</v>
      </c>
      <c r="G21" s="37">
        <f>SUM(G7:G18)</f>
        <v>13722558</v>
      </c>
      <c r="H21" s="3"/>
      <c r="I21" s="3"/>
      <c r="J21" s="37">
        <f>SUM(J7:J19)</f>
        <v>13722558</v>
      </c>
      <c r="K21" s="3"/>
      <c r="L21" s="56">
        <f>SUM(L7:L19)</f>
        <v>13025000</v>
      </c>
      <c r="M21" s="56">
        <f>SUM(M7:M19)</f>
        <v>697558</v>
      </c>
      <c r="N21" s="4"/>
    </row>
    <row r="22" spans="1:20">
      <c r="C22" s="12"/>
      <c r="D22" s="12"/>
      <c r="E22" s="12"/>
      <c r="G22" s="37"/>
      <c r="H22" s="3"/>
      <c r="I22" s="3"/>
      <c r="J22" s="76"/>
      <c r="K22" s="3"/>
      <c r="N22" s="4"/>
      <c r="O22" s="5"/>
      <c r="P22" s="5"/>
      <c r="Q22" s="5"/>
      <c r="R22" s="5"/>
      <c r="S22" s="5"/>
      <c r="T22" s="5"/>
    </row>
    <row r="23" spans="1:20">
      <c r="A23" s="12"/>
      <c r="B23" s="12"/>
      <c r="C23" s="12"/>
      <c r="D23" s="12"/>
      <c r="E23" s="12" t="s">
        <v>264</v>
      </c>
      <c r="F23" s="136">
        <f>SUM(F21-G21)</f>
        <v>10500000</v>
      </c>
      <c r="G23" s="139"/>
      <c r="H23" s="4"/>
      <c r="I23" s="4"/>
      <c r="J23" s="73"/>
      <c r="K23" s="4"/>
      <c r="L23" s="63"/>
      <c r="M23" s="63"/>
      <c r="N23" s="4"/>
      <c r="O23" s="5"/>
      <c r="P23" s="5"/>
      <c r="Q23" s="5"/>
      <c r="R23" s="5"/>
      <c r="S23" s="5"/>
      <c r="T23" s="5"/>
    </row>
    <row r="24" spans="1:20">
      <c r="A24" s="12"/>
      <c r="B24" s="12"/>
      <c r="C24" s="12"/>
      <c r="D24" s="12"/>
      <c r="E24" s="12"/>
      <c r="G24" s="139"/>
      <c r="H24" s="4"/>
      <c r="I24" s="4"/>
      <c r="J24" s="73"/>
      <c r="K24" s="4"/>
      <c r="L24" s="63"/>
      <c r="M24" s="63"/>
      <c r="N24" s="4"/>
      <c r="O24" s="5"/>
      <c r="P24" s="5"/>
      <c r="Q24" s="5"/>
      <c r="R24" s="5"/>
      <c r="S24" s="5"/>
      <c r="T24" s="5"/>
    </row>
    <row r="25" spans="1:20">
      <c r="A25" s="12"/>
      <c r="B25" s="12"/>
      <c r="C25" s="12"/>
      <c r="D25" s="12"/>
      <c r="E25" s="12" t="s">
        <v>37</v>
      </c>
      <c r="F25" s="136">
        <f>+C1-G21+M21</f>
        <v>697558</v>
      </c>
      <c r="G25" s="139"/>
      <c r="H25" s="4"/>
      <c r="I25" s="4"/>
      <c r="J25" s="73"/>
      <c r="K25" s="4"/>
      <c r="L25" s="63"/>
      <c r="M25" s="63"/>
      <c r="N25" s="4"/>
      <c r="O25" s="5"/>
      <c r="P25" s="5"/>
      <c r="Q25" s="5"/>
      <c r="R25" s="5"/>
      <c r="S25" s="5"/>
      <c r="T25" s="5"/>
    </row>
    <row r="26" spans="1:20">
      <c r="C26" s="12"/>
      <c r="D26" s="12"/>
      <c r="E26" s="12"/>
    </row>
  </sheetData>
  <phoneticPr fontId="0" type="noConversion"/>
  <pageMargins left="0.75" right="0.75" top="1" bottom="1" header="0.5" footer="0.5"/>
  <pageSetup scale="73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>
      <selection activeCell="F16" sqref="F16"/>
    </sheetView>
  </sheetViews>
  <sheetFormatPr defaultColWidth="10.85546875" defaultRowHeight="10.5"/>
  <cols>
    <col min="1" max="1" width="8.28515625" style="1" customWidth="1"/>
    <col min="2" max="2" width="10.42578125" style="1" bestFit="1" customWidth="1"/>
    <col min="3" max="3" width="17" style="1" bestFit="1" customWidth="1"/>
    <col min="4" max="4" width="17.7109375" style="1" customWidth="1"/>
    <col min="5" max="5" width="10" style="1" bestFit="1" customWidth="1"/>
    <col min="6" max="6" width="11.7109375" style="136" bestFit="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10.140625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10003096</v>
      </c>
      <c r="D1" s="7"/>
      <c r="E1" s="7"/>
      <c r="F1" s="132"/>
      <c r="G1" s="68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162</v>
      </c>
      <c r="B2" s="20"/>
      <c r="C2" s="22"/>
      <c r="D2" s="22"/>
      <c r="E2" s="22"/>
      <c r="F2" s="133"/>
      <c r="G2" s="57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133"/>
      <c r="G3" s="57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134" t="s">
        <v>151</v>
      </c>
      <c r="G4" s="77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134" t="s">
        <v>259</v>
      </c>
      <c r="G5" s="77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135"/>
      <c r="G6" s="70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3</v>
      </c>
      <c r="B7" s="1"/>
      <c r="C7" s="1"/>
      <c r="D7" s="1"/>
      <c r="E7" s="1"/>
      <c r="F7" s="136"/>
      <c r="G7" s="56"/>
      <c r="H7" s="3"/>
      <c r="I7" s="3"/>
      <c r="J7" s="56"/>
      <c r="K7" s="3"/>
      <c r="L7" s="61"/>
      <c r="M7" s="61"/>
      <c r="N7" s="3"/>
    </row>
    <row r="8" spans="1:20" s="21" customFormat="1">
      <c r="A8" s="55"/>
      <c r="C8" s="1"/>
      <c r="D8" s="1"/>
      <c r="E8" s="1"/>
      <c r="F8" s="136"/>
      <c r="G8" s="56"/>
      <c r="H8" s="3"/>
      <c r="I8" s="3"/>
      <c r="J8" s="56"/>
      <c r="K8" s="3"/>
      <c r="L8" s="61"/>
      <c r="M8" s="61"/>
      <c r="N8" s="3"/>
    </row>
    <row r="9" spans="1:20">
      <c r="A9" s="21">
        <v>2648</v>
      </c>
      <c r="B9" s="1" t="s">
        <v>633</v>
      </c>
      <c r="C9" s="1" t="s">
        <v>138</v>
      </c>
      <c r="D9" s="1" t="s">
        <v>622</v>
      </c>
      <c r="E9" s="39" t="s">
        <v>623</v>
      </c>
      <c r="F9" s="25">
        <v>9941094</v>
      </c>
      <c r="G9" s="25">
        <v>9941094</v>
      </c>
      <c r="H9" s="3">
        <v>35796</v>
      </c>
      <c r="I9" s="3">
        <f>H9+35</f>
        <v>35831</v>
      </c>
      <c r="J9" s="30">
        <v>9941094</v>
      </c>
      <c r="K9" s="3">
        <f>H9+120</f>
        <v>35916</v>
      </c>
      <c r="L9" s="56">
        <v>9640000</v>
      </c>
      <c r="M9" s="25">
        <f>J9-L9</f>
        <v>301094</v>
      </c>
      <c r="N9" s="3">
        <v>36284</v>
      </c>
    </row>
    <row r="10" spans="1:20" ht="12">
      <c r="A10" s="21"/>
      <c r="B10" s="12"/>
      <c r="C10" s="50"/>
      <c r="D10" s="50"/>
      <c r="E10" s="50"/>
      <c r="H10" s="3"/>
      <c r="L10" s="56"/>
      <c r="M10" s="56"/>
    </row>
    <row r="11" spans="1:20" ht="12">
      <c r="A11" s="55"/>
      <c r="B11" s="12"/>
      <c r="C11" s="50"/>
      <c r="D11" s="50"/>
      <c r="E11" s="50"/>
      <c r="H11" s="3"/>
      <c r="L11" s="56"/>
      <c r="M11" s="56"/>
    </row>
    <row r="12" spans="1:20" ht="12">
      <c r="A12" s="21"/>
      <c r="B12" s="12"/>
      <c r="C12" s="50"/>
      <c r="D12" s="50"/>
      <c r="E12" s="50"/>
      <c r="H12" s="3"/>
      <c r="L12" s="56"/>
      <c r="M12" s="56"/>
    </row>
    <row r="13" spans="1:20" s="49" customFormat="1" ht="11.25" thickBot="1">
      <c r="A13" s="21"/>
      <c r="B13" s="21"/>
      <c r="C13" s="21"/>
      <c r="D13" s="21"/>
      <c r="E13" s="21"/>
      <c r="F13" s="138"/>
      <c r="G13" s="138"/>
      <c r="H13" s="3"/>
      <c r="I13" s="3"/>
      <c r="J13" s="138"/>
      <c r="K13" s="3"/>
      <c r="L13" s="66"/>
      <c r="M13" s="138"/>
      <c r="N13" s="3"/>
    </row>
    <row r="14" spans="1:20" s="26" customFormat="1">
      <c r="A14" s="21"/>
      <c r="B14" s="21"/>
      <c r="C14" s="21"/>
      <c r="D14" s="21"/>
      <c r="E14" s="21"/>
      <c r="F14" s="133"/>
      <c r="G14" s="72"/>
      <c r="H14" s="3"/>
      <c r="I14" s="3"/>
      <c r="J14" s="72"/>
      <c r="K14" s="3"/>
      <c r="L14" s="67"/>
      <c r="M14" s="57"/>
      <c r="N14" s="4"/>
    </row>
    <row r="15" spans="1:20" s="26" customFormat="1">
      <c r="A15" s="1"/>
      <c r="B15" s="1"/>
      <c r="C15" s="12" t="s">
        <v>103</v>
      </c>
      <c r="D15" s="12"/>
      <c r="E15" s="12"/>
      <c r="F15" s="137">
        <f>SUM(F7:F12)</f>
        <v>9941094</v>
      </c>
      <c r="G15" s="139">
        <f>SUM(G7:G13)</f>
        <v>9941094</v>
      </c>
      <c r="H15" s="3"/>
      <c r="I15" s="3"/>
      <c r="J15" s="37">
        <f>SUM(J7:J13)</f>
        <v>9941094</v>
      </c>
      <c r="K15" s="3"/>
      <c r="L15" s="56">
        <f>SUM(L7:L13)</f>
        <v>9640000</v>
      </c>
      <c r="M15" s="56">
        <f>SUM(M7:M13)</f>
        <v>301094</v>
      </c>
      <c r="N15" s="4"/>
    </row>
    <row r="16" spans="1:20">
      <c r="C16" s="12"/>
      <c r="D16" s="12"/>
      <c r="E16" s="12"/>
      <c r="G16" s="76"/>
      <c r="H16" s="3"/>
      <c r="I16" s="3"/>
      <c r="J16" s="76"/>
      <c r="K16" s="3"/>
      <c r="N16" s="4"/>
      <c r="O16" s="5"/>
      <c r="P16" s="5"/>
      <c r="Q16" s="5"/>
      <c r="R16" s="5"/>
      <c r="S16" s="5"/>
      <c r="T16" s="5"/>
    </row>
    <row r="17" spans="1:20">
      <c r="A17" s="12"/>
      <c r="B17" s="12"/>
      <c r="C17" s="12" t="s">
        <v>264</v>
      </c>
      <c r="D17" s="12"/>
      <c r="E17" s="12"/>
      <c r="F17" s="137">
        <f>SUM(F15-G15)</f>
        <v>0</v>
      </c>
      <c r="G17" s="79"/>
      <c r="H17" s="4"/>
      <c r="I17" s="4"/>
      <c r="J17" s="73"/>
      <c r="K17" s="4"/>
      <c r="L17" s="63"/>
      <c r="M17" s="63"/>
      <c r="N17" s="4"/>
      <c r="O17" s="5"/>
      <c r="P17" s="5"/>
      <c r="Q17" s="5"/>
      <c r="R17" s="5"/>
      <c r="S17" s="5"/>
      <c r="T17" s="5"/>
    </row>
    <row r="18" spans="1:20">
      <c r="A18" s="12"/>
      <c r="B18" s="12"/>
      <c r="C18" s="12"/>
      <c r="D18" s="12"/>
      <c r="E18" s="12"/>
      <c r="G18" s="73"/>
      <c r="H18" s="4"/>
      <c r="I18" s="4"/>
      <c r="J18" s="73"/>
      <c r="K18" s="4"/>
      <c r="L18" s="63"/>
      <c r="M18" s="63"/>
      <c r="N18" s="4"/>
      <c r="O18" s="5"/>
      <c r="P18" s="5"/>
      <c r="Q18" s="5"/>
      <c r="R18" s="5"/>
      <c r="S18" s="5"/>
      <c r="T18" s="5"/>
    </row>
    <row r="19" spans="1:20">
      <c r="A19" s="12"/>
      <c r="B19" s="12"/>
      <c r="C19" s="12" t="s">
        <v>37</v>
      </c>
      <c r="D19" s="12"/>
      <c r="E19" s="12"/>
      <c r="F19" s="136">
        <f>+C1-G15+M15</f>
        <v>363096</v>
      </c>
      <c r="G19" s="73"/>
      <c r="H19" s="4"/>
      <c r="I19" s="4"/>
      <c r="J19" s="73"/>
      <c r="K19" s="4"/>
      <c r="L19" s="63"/>
      <c r="M19" s="63"/>
      <c r="N19" s="4"/>
      <c r="O19" s="5"/>
      <c r="P19" s="5"/>
      <c r="Q19" s="5"/>
      <c r="R19" s="5"/>
      <c r="S19" s="5"/>
      <c r="T19" s="5"/>
    </row>
  </sheetData>
  <phoneticPr fontId="0" type="noConversion"/>
  <pageMargins left="0.75" right="0.75" top="1" bottom="1" header="0.5" footer="0.5"/>
  <pageSetup scale="7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topLeftCell="A49" workbookViewId="0">
      <selection activeCell="M78" sqref="M78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3" width="17.7109375" style="1" customWidth="1"/>
    <col min="4" max="4" width="23.28515625" style="1" customWidth="1"/>
    <col min="5" max="5" width="17.7109375" style="1" customWidth="1"/>
    <col min="6" max="6" width="15.42578125" style="61" customWidth="1"/>
    <col min="7" max="7" width="17.140625" style="56" customWidth="1"/>
    <col min="8" max="8" width="15.28515625" style="1" bestFit="1" customWidth="1"/>
    <col min="9" max="9" width="11.42578125" style="1" customWidth="1"/>
    <col min="10" max="10" width="15.42578125" style="56" customWidth="1"/>
    <col min="11" max="11" width="11" style="1" bestFit="1" customWidth="1"/>
    <col min="12" max="12" width="12.28515625" style="136" bestFit="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65597771</v>
      </c>
      <c r="D1" s="7"/>
      <c r="E1" s="7"/>
      <c r="F1" s="62"/>
      <c r="G1" s="68"/>
      <c r="H1" s="9"/>
      <c r="I1" s="9"/>
      <c r="J1" s="68"/>
      <c r="K1" s="9"/>
      <c r="L1" s="13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251</v>
      </c>
      <c r="B2" s="20"/>
      <c r="C2" s="25">
        <v>63039458</v>
      </c>
      <c r="D2" s="67" t="s">
        <v>164</v>
      </c>
      <c r="E2" s="25"/>
      <c r="G2" s="57"/>
      <c r="H2" s="23"/>
      <c r="I2" s="23"/>
      <c r="J2" s="57"/>
      <c r="K2" s="23"/>
      <c r="L2" s="134"/>
      <c r="M2" s="65"/>
      <c r="N2" s="42"/>
      <c r="O2" s="20"/>
      <c r="P2" s="20"/>
      <c r="Q2" s="20"/>
      <c r="R2" s="20"/>
      <c r="S2" s="20"/>
      <c r="T2" s="20"/>
    </row>
    <row r="3" spans="1:20" s="21" customFormat="1">
      <c r="A3" s="54"/>
      <c r="B3" s="20"/>
      <c r="C3" s="25">
        <f>C1-C2</f>
        <v>2558313</v>
      </c>
      <c r="D3" s="67" t="s">
        <v>165</v>
      </c>
      <c r="E3" s="25"/>
      <c r="G3" s="57"/>
      <c r="H3" s="23"/>
      <c r="I3" s="23"/>
      <c r="J3" s="57"/>
      <c r="K3" s="23"/>
      <c r="L3" s="134"/>
      <c r="M3" s="65"/>
      <c r="N3" s="42"/>
      <c r="O3" s="20"/>
      <c r="P3" s="20"/>
      <c r="Q3" s="20"/>
      <c r="R3" s="20"/>
      <c r="S3" s="20"/>
      <c r="T3" s="20"/>
    </row>
    <row r="4" spans="1:20">
      <c r="A4" s="45"/>
      <c r="B4" s="21"/>
      <c r="C4" s="20"/>
      <c r="D4" s="20"/>
      <c r="E4" s="20"/>
      <c r="F4" s="67"/>
      <c r="G4" s="57"/>
      <c r="H4" s="23"/>
      <c r="I4" s="23"/>
      <c r="J4" s="57"/>
      <c r="K4" s="23"/>
      <c r="L4" s="133"/>
      <c r="M4" s="67"/>
      <c r="N4" s="42"/>
      <c r="O4" s="20"/>
      <c r="P4" s="20"/>
      <c r="Q4" s="20"/>
      <c r="R4" s="20"/>
      <c r="S4" s="20"/>
      <c r="T4" s="20"/>
    </row>
    <row r="5" spans="1:20" s="12" customFormat="1">
      <c r="A5" s="45" t="s">
        <v>215</v>
      </c>
      <c r="B5" s="20" t="s">
        <v>242</v>
      </c>
      <c r="C5" s="20" t="s">
        <v>197</v>
      </c>
      <c r="D5" s="22" t="s">
        <v>282</v>
      </c>
      <c r="E5" s="20" t="s">
        <v>268</v>
      </c>
      <c r="F5" s="65" t="s">
        <v>151</v>
      </c>
      <c r="G5" s="77" t="s">
        <v>30</v>
      </c>
      <c r="H5" s="24" t="s">
        <v>74</v>
      </c>
      <c r="I5" s="24" t="s">
        <v>218</v>
      </c>
      <c r="J5" s="77" t="s">
        <v>19</v>
      </c>
      <c r="K5" s="24" t="s">
        <v>252</v>
      </c>
      <c r="L5" s="134" t="s">
        <v>168</v>
      </c>
      <c r="M5" s="65" t="s">
        <v>267</v>
      </c>
      <c r="N5" s="42" t="s">
        <v>148</v>
      </c>
      <c r="O5" s="20"/>
      <c r="P5" s="20"/>
      <c r="Q5" s="20"/>
      <c r="R5" s="20"/>
      <c r="S5" s="20"/>
      <c r="T5" s="20"/>
    </row>
    <row r="6" spans="1:20" s="20" customFormat="1">
      <c r="A6" s="45" t="s">
        <v>281</v>
      </c>
      <c r="B6" s="21"/>
      <c r="D6" s="22"/>
      <c r="E6" s="22"/>
      <c r="F6" s="65" t="s">
        <v>259</v>
      </c>
      <c r="G6" s="77" t="s">
        <v>259</v>
      </c>
      <c r="H6" s="24" t="s">
        <v>34</v>
      </c>
      <c r="I6" s="24" t="s">
        <v>102</v>
      </c>
      <c r="J6" s="77" t="s">
        <v>259</v>
      </c>
      <c r="K6" s="24" t="s">
        <v>102</v>
      </c>
      <c r="L6" s="134" t="s">
        <v>259</v>
      </c>
      <c r="M6" s="65" t="s">
        <v>259</v>
      </c>
      <c r="N6" s="42" t="s">
        <v>21</v>
      </c>
    </row>
    <row r="7" spans="1:20" s="12" customFormat="1" ht="11.25" thickBot="1">
      <c r="A7" s="46" t="s">
        <v>207</v>
      </c>
      <c r="B7" s="15"/>
      <c r="C7" s="15"/>
      <c r="D7" s="15"/>
      <c r="E7" s="15"/>
      <c r="F7" s="64"/>
      <c r="G7" s="70"/>
      <c r="H7" s="18"/>
      <c r="I7" s="18"/>
      <c r="J7" s="70"/>
      <c r="K7" s="18"/>
      <c r="L7" s="135"/>
      <c r="M7" s="64"/>
      <c r="N7" s="47" t="s">
        <v>34</v>
      </c>
      <c r="O7" s="20"/>
      <c r="P7" s="20"/>
      <c r="Q7" s="20"/>
      <c r="R7" s="20"/>
      <c r="S7" s="20"/>
      <c r="T7" s="20"/>
    </row>
    <row r="8" spans="1:20" s="21" customFormat="1">
      <c r="A8" s="55" t="s">
        <v>119</v>
      </c>
      <c r="B8" s="1"/>
      <c r="C8" s="1"/>
      <c r="D8" s="1"/>
      <c r="E8" s="1"/>
      <c r="F8" s="61"/>
      <c r="G8" s="56"/>
      <c r="H8" s="3"/>
      <c r="I8" s="3"/>
      <c r="J8" s="56"/>
      <c r="K8" s="3"/>
      <c r="L8" s="136"/>
      <c r="M8" s="61"/>
      <c r="N8" s="3"/>
    </row>
    <row r="9" spans="1:20" s="21" customFormat="1">
      <c r="A9" s="55"/>
      <c r="B9" s="1"/>
      <c r="C9" s="1"/>
      <c r="D9" s="1"/>
      <c r="E9" s="1"/>
      <c r="F9" s="61"/>
      <c r="G9" s="56"/>
      <c r="H9" s="3"/>
      <c r="I9" s="3"/>
      <c r="J9" s="56"/>
      <c r="K9" s="3"/>
      <c r="L9" s="136"/>
      <c r="M9" s="61"/>
      <c r="N9" s="3"/>
    </row>
    <row r="10" spans="1:20" s="21" customFormat="1" ht="12">
      <c r="A10">
        <v>3</v>
      </c>
      <c r="B10" s="1" t="s">
        <v>627</v>
      </c>
      <c r="C10" t="s">
        <v>265</v>
      </c>
      <c r="D10" t="s">
        <v>518</v>
      </c>
      <c r="E10" t="s">
        <v>381</v>
      </c>
      <c r="F10" s="112">
        <v>15000000</v>
      </c>
      <c r="G10" s="87"/>
      <c r="H10" s="3">
        <v>36175</v>
      </c>
      <c r="I10" s="3">
        <f>H10+35</f>
        <v>36210</v>
      </c>
      <c r="J10" s="56"/>
      <c r="K10" s="3">
        <f>H10+120</f>
        <v>36295</v>
      </c>
      <c r="L10" s="136"/>
      <c r="M10" s="61"/>
      <c r="N10" s="3"/>
    </row>
    <row r="11" spans="1:20" s="21" customFormat="1" ht="12">
      <c r="A11" s="142">
        <v>2663</v>
      </c>
      <c r="B11" s="1" t="s">
        <v>621</v>
      </c>
      <c r="C11" s="152" t="s">
        <v>265</v>
      </c>
      <c r="D11" s="152" t="s">
        <v>519</v>
      </c>
      <c r="E11" s="152" t="s">
        <v>381</v>
      </c>
      <c r="F11" s="153">
        <v>15000000</v>
      </c>
      <c r="G11" s="30">
        <v>15000000</v>
      </c>
      <c r="H11" s="3">
        <v>36168</v>
      </c>
      <c r="I11" s="3">
        <f>H11+35</f>
        <v>36203</v>
      </c>
      <c r="J11" s="30">
        <v>15000000</v>
      </c>
      <c r="K11" s="3">
        <f>H11+120</f>
        <v>36288</v>
      </c>
      <c r="L11" s="136"/>
      <c r="M11" s="136">
        <v>15000000</v>
      </c>
      <c r="N11" s="3">
        <v>36263</v>
      </c>
    </row>
    <row r="12" spans="1:20" s="21" customFormat="1" ht="12">
      <c r="A12" s="142">
        <v>2649</v>
      </c>
      <c r="B12" s="1" t="s">
        <v>627</v>
      </c>
      <c r="C12" s="152" t="s">
        <v>36</v>
      </c>
      <c r="D12" s="152" t="s">
        <v>520</v>
      </c>
      <c r="E12" s="152" t="s">
        <v>381</v>
      </c>
      <c r="F12" s="153">
        <v>15000000</v>
      </c>
      <c r="G12" s="30">
        <v>15000000</v>
      </c>
      <c r="H12" s="3">
        <v>36161</v>
      </c>
      <c r="I12" s="3">
        <f>H12+35</f>
        <v>36196</v>
      </c>
      <c r="J12" s="30">
        <v>15000000</v>
      </c>
      <c r="K12" s="3">
        <f>H12+120</f>
        <v>36281</v>
      </c>
      <c r="L12" s="136"/>
      <c r="M12" s="136">
        <v>15000000</v>
      </c>
      <c r="N12" s="3">
        <v>36288</v>
      </c>
    </row>
    <row r="13" spans="1:20" s="198" customFormat="1" ht="12">
      <c r="A13" s="225">
        <v>2695</v>
      </c>
      <c r="B13" s="198" t="s">
        <v>627</v>
      </c>
      <c r="C13" s="226" t="s">
        <v>265</v>
      </c>
      <c r="D13" s="226" t="s">
        <v>521</v>
      </c>
      <c r="E13" s="226" t="s">
        <v>232</v>
      </c>
      <c r="F13" s="227">
        <v>10650000</v>
      </c>
      <c r="G13" s="205">
        <v>10650000</v>
      </c>
      <c r="H13" s="206">
        <v>36189</v>
      </c>
      <c r="I13" s="206">
        <f>H13+35</f>
        <v>36224</v>
      </c>
      <c r="J13" s="228"/>
      <c r="K13" s="206">
        <f>H13+120</f>
        <v>36309</v>
      </c>
      <c r="L13" s="207"/>
      <c r="M13" s="207">
        <v>10650000</v>
      </c>
      <c r="N13" s="206"/>
    </row>
    <row r="14" spans="1:20" s="21" customFormat="1" ht="12">
      <c r="A14">
        <v>17</v>
      </c>
      <c r="B14" s="1" t="s">
        <v>621</v>
      </c>
      <c r="C14" t="s">
        <v>36</v>
      </c>
      <c r="D14" t="s">
        <v>522</v>
      </c>
      <c r="E14" t="s">
        <v>381</v>
      </c>
      <c r="F14" s="112">
        <v>15000000</v>
      </c>
      <c r="G14" s="56"/>
      <c r="H14" s="3"/>
      <c r="I14" s="3"/>
      <c r="J14" s="56"/>
      <c r="K14" s="3"/>
      <c r="L14" s="136"/>
      <c r="M14" s="61"/>
      <c r="N14" s="3"/>
    </row>
    <row r="15" spans="1:20" s="21" customFormat="1" ht="12">
      <c r="A15" s="142">
        <v>2693</v>
      </c>
      <c r="B15" s="1" t="s">
        <v>633</v>
      </c>
      <c r="C15" s="152" t="s">
        <v>265</v>
      </c>
      <c r="D15" s="152" t="s">
        <v>523</v>
      </c>
      <c r="E15" s="152" t="s">
        <v>232</v>
      </c>
      <c r="F15" s="153">
        <v>10450000</v>
      </c>
      <c r="G15" s="56">
        <v>10450000</v>
      </c>
      <c r="H15" s="3">
        <v>36186</v>
      </c>
      <c r="I15" s="23">
        <f>H15+35</f>
        <v>36221</v>
      </c>
      <c r="J15" s="56">
        <v>10450000</v>
      </c>
      <c r="K15" s="23">
        <f>H15+120</f>
        <v>36306</v>
      </c>
      <c r="L15" s="136">
        <v>10450000</v>
      </c>
      <c r="M15" s="61">
        <v>0</v>
      </c>
      <c r="N15" s="3">
        <v>36307</v>
      </c>
    </row>
    <row r="16" spans="1:20" s="21" customFormat="1" ht="12">
      <c r="A16" s="142">
        <v>2704</v>
      </c>
      <c r="B16" s="1" t="s">
        <v>633</v>
      </c>
      <c r="C16" s="152" t="s">
        <v>265</v>
      </c>
      <c r="D16" s="152" t="s">
        <v>524</v>
      </c>
      <c r="E16" s="152" t="s">
        <v>232</v>
      </c>
      <c r="F16" s="153">
        <v>15000000</v>
      </c>
      <c r="G16" s="56">
        <v>15000000</v>
      </c>
      <c r="H16" s="3">
        <v>36209</v>
      </c>
      <c r="I16" s="3">
        <f>H16+35</f>
        <v>36244</v>
      </c>
      <c r="J16" s="30">
        <v>15000000</v>
      </c>
      <c r="K16" s="3">
        <f>H16+120</f>
        <v>36329</v>
      </c>
      <c r="L16" s="136">
        <v>12245000</v>
      </c>
      <c r="M16" s="136">
        <f>J16-L16</f>
        <v>2755000</v>
      </c>
      <c r="N16" s="3">
        <v>36330</v>
      </c>
    </row>
    <row r="17" spans="1:14" s="21" customFormat="1" ht="12">
      <c r="A17">
        <v>22</v>
      </c>
      <c r="B17" s="1" t="s">
        <v>627</v>
      </c>
      <c r="C17" t="s">
        <v>265</v>
      </c>
      <c r="D17" t="s">
        <v>525</v>
      </c>
      <c r="E17" t="s">
        <v>232</v>
      </c>
      <c r="F17" s="112">
        <v>15000000</v>
      </c>
      <c r="G17" s="56"/>
      <c r="H17" s="3"/>
      <c r="I17" s="3"/>
      <c r="J17" s="56"/>
      <c r="K17" s="3"/>
      <c r="L17" s="136"/>
      <c r="M17" s="61"/>
      <c r="N17" s="3"/>
    </row>
    <row r="18" spans="1:14" s="21" customFormat="1" ht="12">
      <c r="A18" s="142">
        <v>2713</v>
      </c>
      <c r="B18" s="1" t="s">
        <v>627</v>
      </c>
      <c r="C18" s="152" t="s">
        <v>265</v>
      </c>
      <c r="D18" s="152" t="s">
        <v>653</v>
      </c>
      <c r="E18" s="152" t="s">
        <v>381</v>
      </c>
      <c r="F18" s="153">
        <v>15000000</v>
      </c>
      <c r="G18" s="56">
        <v>15000000</v>
      </c>
      <c r="H18" s="3">
        <v>36274</v>
      </c>
      <c r="I18" s="3">
        <f>H18+35</f>
        <v>36309</v>
      </c>
      <c r="J18" s="56"/>
      <c r="K18" s="3">
        <f>H18+120</f>
        <v>36394</v>
      </c>
      <c r="L18" s="136"/>
      <c r="M18" s="136">
        <v>15000000</v>
      </c>
      <c r="N18" s="3">
        <v>36312</v>
      </c>
    </row>
    <row r="19" spans="1:14" s="21" customFormat="1" ht="12">
      <c r="A19">
        <v>24</v>
      </c>
      <c r="B19" s="1" t="s">
        <v>621</v>
      </c>
      <c r="C19" t="s">
        <v>36</v>
      </c>
      <c r="D19" t="s">
        <v>526</v>
      </c>
      <c r="E19" t="s">
        <v>381</v>
      </c>
      <c r="F19" s="112">
        <v>15000000</v>
      </c>
      <c r="G19" s="56"/>
      <c r="H19" s="3"/>
      <c r="I19" s="3"/>
      <c r="J19" s="56"/>
      <c r="K19" s="3"/>
      <c r="L19" s="136"/>
      <c r="M19" s="136"/>
      <c r="N19" s="3"/>
    </row>
    <row r="20" spans="1:14" s="21" customFormat="1" ht="12">
      <c r="A20">
        <v>28</v>
      </c>
      <c r="B20" s="1" t="s">
        <v>621</v>
      </c>
      <c r="C20" t="s">
        <v>36</v>
      </c>
      <c r="D20" t="s">
        <v>527</v>
      </c>
      <c r="E20" t="s">
        <v>381</v>
      </c>
      <c r="F20" s="112">
        <v>15000000</v>
      </c>
      <c r="G20" s="56"/>
      <c r="H20" s="3"/>
      <c r="I20" s="3"/>
      <c r="J20" s="56"/>
      <c r="K20" s="3"/>
      <c r="L20" s="136"/>
      <c r="M20" s="61"/>
      <c r="N20" s="3">
        <v>36293</v>
      </c>
    </row>
    <row r="21" spans="1:14" s="21" customFormat="1" ht="12">
      <c r="A21" s="142">
        <v>2720</v>
      </c>
      <c r="B21" s="1" t="s">
        <v>621</v>
      </c>
      <c r="C21" s="152" t="s">
        <v>36</v>
      </c>
      <c r="D21" s="152" t="s">
        <v>528</v>
      </c>
      <c r="E21" s="152" t="s">
        <v>381</v>
      </c>
      <c r="F21" s="153">
        <v>10000000</v>
      </c>
      <c r="G21" s="56">
        <v>10000000</v>
      </c>
      <c r="H21" s="3">
        <v>36298</v>
      </c>
      <c r="I21" s="3">
        <f>H21+35</f>
        <v>36333</v>
      </c>
      <c r="J21" s="30">
        <v>10000000</v>
      </c>
      <c r="K21" s="3">
        <f>H21+120</f>
        <v>36418</v>
      </c>
      <c r="L21" s="136"/>
      <c r="M21" s="61">
        <v>10000000</v>
      </c>
      <c r="N21" s="3">
        <v>36361</v>
      </c>
    </row>
    <row r="22" spans="1:14" s="21" customFormat="1" ht="12">
      <c r="A22" s="142">
        <v>2721</v>
      </c>
      <c r="B22" s="1" t="s">
        <v>627</v>
      </c>
      <c r="C22" s="152" t="s">
        <v>529</v>
      </c>
      <c r="D22" s="152" t="s">
        <v>530</v>
      </c>
      <c r="E22" s="152" t="s">
        <v>381</v>
      </c>
      <c r="F22" s="153">
        <v>12000000</v>
      </c>
      <c r="G22" s="56">
        <v>12000000</v>
      </c>
      <c r="H22" s="3">
        <v>36298</v>
      </c>
      <c r="I22" s="3">
        <f>H22+35</f>
        <v>36333</v>
      </c>
      <c r="J22" s="56"/>
      <c r="K22" s="3">
        <f>H22+120</f>
        <v>36418</v>
      </c>
      <c r="L22" s="136"/>
      <c r="M22" s="136">
        <v>12000000</v>
      </c>
      <c r="N22" s="3">
        <v>36335</v>
      </c>
    </row>
    <row r="23" spans="1:14" s="21" customFormat="1" ht="12">
      <c r="A23">
        <v>51</v>
      </c>
      <c r="B23" s="1" t="s">
        <v>621</v>
      </c>
      <c r="C23" t="s">
        <v>36</v>
      </c>
      <c r="D23" t="s">
        <v>531</v>
      </c>
      <c r="E23" t="s">
        <v>381</v>
      </c>
      <c r="F23" s="112">
        <v>14500000</v>
      </c>
      <c r="G23" s="56"/>
      <c r="H23" s="3"/>
      <c r="I23" s="3"/>
      <c r="J23" s="56"/>
      <c r="K23" s="3"/>
      <c r="L23" s="136"/>
      <c r="M23" s="61"/>
      <c r="N23" s="3"/>
    </row>
    <row r="24" spans="1:14" s="21" customFormat="1" ht="12">
      <c r="A24">
        <v>53</v>
      </c>
      <c r="B24" s="1" t="s">
        <v>621</v>
      </c>
      <c r="C24" t="s">
        <v>265</v>
      </c>
      <c r="D24" t="s">
        <v>532</v>
      </c>
      <c r="E24" t="s">
        <v>232</v>
      </c>
      <c r="F24" s="112">
        <v>15000000</v>
      </c>
      <c r="G24" s="56"/>
      <c r="H24" s="3"/>
      <c r="I24" s="3"/>
      <c r="J24" s="56"/>
      <c r="K24" s="3"/>
      <c r="L24" s="136"/>
      <c r="M24" s="61"/>
      <c r="N24" s="3"/>
    </row>
    <row r="25" spans="1:14" s="21" customFormat="1" ht="12">
      <c r="A25" s="142">
        <v>2728</v>
      </c>
      <c r="B25" s="1" t="s">
        <v>627</v>
      </c>
      <c r="C25" s="152" t="s">
        <v>36</v>
      </c>
      <c r="D25" s="152" t="s">
        <v>533</v>
      </c>
      <c r="E25" s="152" t="s">
        <v>381</v>
      </c>
      <c r="F25" s="153">
        <v>15000000</v>
      </c>
      <c r="G25" s="56">
        <v>15000000</v>
      </c>
      <c r="H25" s="3">
        <v>36315</v>
      </c>
      <c r="I25" s="3">
        <f>H25+35</f>
        <v>36350</v>
      </c>
      <c r="J25" s="56"/>
      <c r="K25" s="3">
        <f>H25+120</f>
        <v>36435</v>
      </c>
      <c r="M25" s="136">
        <v>15000000</v>
      </c>
      <c r="N25" s="3">
        <v>36351</v>
      </c>
    </row>
    <row r="26" spans="1:14" s="21" customFormat="1" ht="12">
      <c r="A26" s="142">
        <v>2727</v>
      </c>
      <c r="B26" s="1" t="s">
        <v>633</v>
      </c>
      <c r="C26" s="152" t="s">
        <v>36</v>
      </c>
      <c r="D26" s="152" t="s">
        <v>534</v>
      </c>
      <c r="E26" s="152" t="s">
        <v>381</v>
      </c>
      <c r="F26" s="153">
        <v>15000000</v>
      </c>
      <c r="G26" s="56">
        <v>15000000</v>
      </c>
      <c r="H26" s="3">
        <v>36315</v>
      </c>
      <c r="I26" s="3">
        <f>H26+35</f>
        <v>36350</v>
      </c>
      <c r="J26" s="30">
        <v>10000000</v>
      </c>
      <c r="K26" s="3">
        <f>H26+120</f>
        <v>36435</v>
      </c>
      <c r="L26" s="136">
        <v>7865000</v>
      </c>
      <c r="M26" s="136">
        <f>G26-L26</f>
        <v>7135000</v>
      </c>
      <c r="N26" s="3">
        <v>36438</v>
      </c>
    </row>
    <row r="27" spans="1:14" s="21" customFormat="1" ht="12">
      <c r="A27">
        <v>60</v>
      </c>
      <c r="B27" s="1" t="s">
        <v>627</v>
      </c>
      <c r="C27" t="s">
        <v>265</v>
      </c>
      <c r="D27" t="s">
        <v>535</v>
      </c>
      <c r="E27" t="s">
        <v>183</v>
      </c>
      <c r="F27" s="112">
        <v>15000000</v>
      </c>
      <c r="G27" s="56"/>
      <c r="H27" s="3"/>
      <c r="I27" s="3"/>
      <c r="J27" s="56"/>
      <c r="K27" s="3"/>
      <c r="L27" s="136"/>
      <c r="M27" s="61"/>
      <c r="N27" s="3"/>
    </row>
    <row r="28" spans="1:14" s="21" customFormat="1" ht="12">
      <c r="A28" s="142">
        <v>2729</v>
      </c>
      <c r="B28" s="1" t="s">
        <v>621</v>
      </c>
      <c r="C28" s="152" t="s">
        <v>265</v>
      </c>
      <c r="D28" s="152" t="s">
        <v>536</v>
      </c>
      <c r="E28" s="152" t="s">
        <v>232</v>
      </c>
      <c r="F28" s="153">
        <v>15000000</v>
      </c>
      <c r="G28" s="56">
        <v>15000000</v>
      </c>
      <c r="H28" s="3">
        <v>36315</v>
      </c>
      <c r="I28" s="3">
        <f>H28+35</f>
        <v>36350</v>
      </c>
      <c r="J28" s="30">
        <v>15000000</v>
      </c>
      <c r="K28" s="3">
        <f>H28+120</f>
        <v>36435</v>
      </c>
      <c r="L28" s="136"/>
      <c r="M28" s="136">
        <v>15000000</v>
      </c>
      <c r="N28" s="3">
        <v>36424</v>
      </c>
    </row>
    <row r="29" spans="1:14" s="21" customFormat="1" ht="12">
      <c r="A29" s="142">
        <v>2731</v>
      </c>
      <c r="B29" s="1" t="s">
        <v>633</v>
      </c>
      <c r="C29" s="152" t="s">
        <v>265</v>
      </c>
      <c r="D29" s="152" t="s">
        <v>537</v>
      </c>
      <c r="E29" s="152" t="s">
        <v>346</v>
      </c>
      <c r="F29" s="153">
        <v>9000000</v>
      </c>
      <c r="G29" s="56">
        <v>9000000</v>
      </c>
      <c r="H29" s="3">
        <v>36319</v>
      </c>
      <c r="I29" s="3">
        <f>H29+35</f>
        <v>36354</v>
      </c>
      <c r="J29" s="30">
        <v>9000000</v>
      </c>
      <c r="K29" s="3">
        <f>H29+120</f>
        <v>36439</v>
      </c>
      <c r="L29" s="136">
        <v>6400000</v>
      </c>
      <c r="M29" s="61">
        <f>J29-L29</f>
        <v>2600000</v>
      </c>
      <c r="N29" s="3">
        <v>36441</v>
      </c>
    </row>
    <row r="30" spans="1:14" s="21" customFormat="1" ht="12">
      <c r="A30">
        <v>67</v>
      </c>
      <c r="B30" s="1" t="s">
        <v>621</v>
      </c>
      <c r="C30" t="s">
        <v>36</v>
      </c>
      <c r="D30" t="s">
        <v>538</v>
      </c>
      <c r="E30" t="s">
        <v>381</v>
      </c>
      <c r="F30" s="112">
        <v>14500000</v>
      </c>
      <c r="G30" s="56"/>
      <c r="H30" s="3"/>
      <c r="I30" s="3"/>
      <c r="J30" s="56"/>
      <c r="K30" s="3"/>
      <c r="L30" s="136"/>
      <c r="M30" s="61"/>
      <c r="N30" s="3"/>
    </row>
    <row r="31" spans="1:14" s="21" customFormat="1" ht="12">
      <c r="A31">
        <v>76</v>
      </c>
      <c r="B31" s="1" t="s">
        <v>621</v>
      </c>
      <c r="C31" t="s">
        <v>36</v>
      </c>
      <c r="D31" t="s">
        <v>539</v>
      </c>
      <c r="E31" t="s">
        <v>381</v>
      </c>
      <c r="F31" s="112">
        <v>15000000</v>
      </c>
      <c r="G31" s="56"/>
      <c r="H31" s="3"/>
      <c r="I31" s="3"/>
      <c r="J31" s="56"/>
      <c r="K31" s="3"/>
      <c r="L31" s="136"/>
      <c r="M31" s="61"/>
      <c r="N31" s="3"/>
    </row>
    <row r="32" spans="1:14" s="21" customFormat="1" ht="12">
      <c r="A32" s="142">
        <v>2733</v>
      </c>
      <c r="B32" s="1" t="s">
        <v>633</v>
      </c>
      <c r="C32" s="152" t="s">
        <v>529</v>
      </c>
      <c r="D32" s="152" t="s">
        <v>710</v>
      </c>
      <c r="E32" s="152" t="s">
        <v>381</v>
      </c>
      <c r="F32" s="153">
        <v>15000000</v>
      </c>
      <c r="G32" s="56">
        <v>15000000</v>
      </c>
      <c r="H32" s="3">
        <v>36322</v>
      </c>
      <c r="I32" s="3">
        <f>H32+35</f>
        <v>36357</v>
      </c>
      <c r="J32" s="30">
        <v>15000000</v>
      </c>
      <c r="K32" s="3">
        <f>H32+120</f>
        <v>36442</v>
      </c>
      <c r="L32" s="136">
        <v>14600000</v>
      </c>
      <c r="M32" s="61">
        <f>J32-L32</f>
        <v>400000</v>
      </c>
      <c r="N32" s="3">
        <v>36446</v>
      </c>
    </row>
    <row r="33" spans="1:14" s="21" customFormat="1" ht="12">
      <c r="A33" s="142">
        <v>2735</v>
      </c>
      <c r="B33" s="1" t="s">
        <v>633</v>
      </c>
      <c r="C33" s="152" t="s">
        <v>36</v>
      </c>
      <c r="D33" s="152" t="s">
        <v>540</v>
      </c>
      <c r="E33" s="152" t="s">
        <v>381</v>
      </c>
      <c r="F33" s="153">
        <v>15000000</v>
      </c>
      <c r="G33" s="56">
        <v>15000000</v>
      </c>
      <c r="H33" s="3">
        <v>36340</v>
      </c>
      <c r="I33" s="3">
        <f>H33+35</f>
        <v>36375</v>
      </c>
      <c r="J33" s="30">
        <v>15000000</v>
      </c>
      <c r="K33" s="3">
        <f>H33+120</f>
        <v>36460</v>
      </c>
      <c r="L33" s="136">
        <v>12220000</v>
      </c>
      <c r="M33" s="61">
        <f>J33-L33</f>
        <v>2780000</v>
      </c>
      <c r="N33" s="3">
        <v>36460</v>
      </c>
    </row>
    <row r="34" spans="1:14" s="21" customFormat="1" ht="12">
      <c r="A34" s="142">
        <v>2738</v>
      </c>
      <c r="B34" s="1" t="s">
        <v>633</v>
      </c>
      <c r="C34" s="152" t="s">
        <v>36</v>
      </c>
      <c r="D34" s="152" t="s">
        <v>541</v>
      </c>
      <c r="E34" s="152" t="s">
        <v>381</v>
      </c>
      <c r="F34" s="153">
        <v>15000000</v>
      </c>
      <c r="G34" s="56">
        <v>15000000</v>
      </c>
      <c r="H34" s="3">
        <v>36351</v>
      </c>
      <c r="I34" s="3">
        <f>H34+35</f>
        <v>36386</v>
      </c>
      <c r="J34" s="30">
        <v>15000000</v>
      </c>
      <c r="K34" s="3">
        <f>H34+120</f>
        <v>36471</v>
      </c>
      <c r="L34" s="136">
        <v>13250000</v>
      </c>
      <c r="M34" s="61">
        <f>J34-L34</f>
        <v>1750000</v>
      </c>
      <c r="N34" s="3">
        <v>36470</v>
      </c>
    </row>
    <row r="35" spans="1:14" s="21" customFormat="1" ht="12">
      <c r="A35">
        <v>99</v>
      </c>
      <c r="B35" s="1" t="s">
        <v>621</v>
      </c>
      <c r="C35" t="s">
        <v>36</v>
      </c>
      <c r="D35" t="s">
        <v>542</v>
      </c>
      <c r="E35" t="s">
        <v>381</v>
      </c>
      <c r="F35" s="112">
        <v>12500000</v>
      </c>
      <c r="G35" s="56"/>
      <c r="H35" s="3"/>
      <c r="I35" s="3"/>
      <c r="J35" s="56"/>
      <c r="K35" s="3"/>
      <c r="L35" s="136"/>
      <c r="M35" s="61"/>
      <c r="N35" s="3"/>
    </row>
    <row r="36" spans="1:14" s="21" customFormat="1" ht="12">
      <c r="A36" s="142">
        <v>2748</v>
      </c>
      <c r="B36" s="1" t="s">
        <v>633</v>
      </c>
      <c r="C36" s="152" t="s">
        <v>265</v>
      </c>
      <c r="D36" s="152" t="s">
        <v>543</v>
      </c>
      <c r="E36" s="152" t="s">
        <v>232</v>
      </c>
      <c r="F36" s="153">
        <v>14500000</v>
      </c>
      <c r="G36" s="56">
        <v>15000000</v>
      </c>
      <c r="H36" s="3">
        <v>36392</v>
      </c>
      <c r="I36" s="3">
        <f>H36+35</f>
        <v>36427</v>
      </c>
      <c r="J36" s="30">
        <v>14500000</v>
      </c>
      <c r="K36" s="3">
        <f>H36+120</f>
        <v>36512</v>
      </c>
      <c r="L36" s="136">
        <v>12600000</v>
      </c>
      <c r="M36" s="61">
        <f>J36-L36</f>
        <v>1900000</v>
      </c>
      <c r="N36" s="3">
        <v>36863</v>
      </c>
    </row>
    <row r="37" spans="1:14" s="21" customFormat="1" ht="12">
      <c r="A37" s="142">
        <v>2749</v>
      </c>
      <c r="B37" s="1" t="s">
        <v>621</v>
      </c>
      <c r="C37" s="152" t="s">
        <v>36</v>
      </c>
      <c r="D37" s="152" t="s">
        <v>544</v>
      </c>
      <c r="E37" s="152" t="s">
        <v>381</v>
      </c>
      <c r="F37" s="153">
        <v>15000000</v>
      </c>
      <c r="G37" s="56">
        <v>15000000</v>
      </c>
      <c r="H37" s="3">
        <v>36392</v>
      </c>
      <c r="I37" s="3">
        <f>H37+35</f>
        <v>36427</v>
      </c>
      <c r="J37" s="30">
        <v>12500000</v>
      </c>
      <c r="K37" s="3">
        <f>H37+120</f>
        <v>36512</v>
      </c>
      <c r="L37" s="136"/>
      <c r="M37" s="61">
        <v>15000000</v>
      </c>
      <c r="N37" s="3">
        <v>36448</v>
      </c>
    </row>
    <row r="38" spans="1:14" s="21" customFormat="1" ht="12">
      <c r="A38">
        <v>115</v>
      </c>
      <c r="B38" s="1" t="s">
        <v>621</v>
      </c>
      <c r="C38" t="s">
        <v>265</v>
      </c>
      <c r="D38" t="s">
        <v>545</v>
      </c>
      <c r="E38" t="s">
        <v>232</v>
      </c>
      <c r="F38" s="112">
        <v>15000000</v>
      </c>
      <c r="G38" s="56"/>
      <c r="H38" s="3"/>
      <c r="I38" s="3"/>
      <c r="J38" s="56"/>
      <c r="K38" s="3"/>
      <c r="L38" s="136"/>
      <c r="M38" s="61"/>
      <c r="N38" s="3"/>
    </row>
    <row r="39" spans="1:14" s="21" customFormat="1" ht="12">
      <c r="A39">
        <v>123</v>
      </c>
      <c r="B39" s="1" t="s">
        <v>621</v>
      </c>
      <c r="C39" t="s">
        <v>36</v>
      </c>
      <c r="D39" t="s">
        <v>546</v>
      </c>
      <c r="E39" t="s">
        <v>381</v>
      </c>
      <c r="F39" s="112">
        <v>12000000</v>
      </c>
      <c r="G39" s="56"/>
      <c r="H39" s="3"/>
      <c r="I39" s="3"/>
      <c r="J39" s="56"/>
      <c r="K39" s="3"/>
      <c r="L39" s="136"/>
      <c r="M39" s="61"/>
      <c r="N39" s="3"/>
    </row>
    <row r="40" spans="1:14" s="21" customFormat="1" ht="12">
      <c r="A40">
        <v>127</v>
      </c>
      <c r="B40" s="1" t="s">
        <v>627</v>
      </c>
      <c r="C40" t="s">
        <v>529</v>
      </c>
      <c r="D40" t="s">
        <v>547</v>
      </c>
      <c r="E40" t="s">
        <v>381</v>
      </c>
      <c r="F40" s="112">
        <v>15000000</v>
      </c>
      <c r="G40" s="56"/>
      <c r="H40" s="3"/>
      <c r="I40" s="3"/>
      <c r="J40" s="56"/>
      <c r="K40" s="3"/>
      <c r="L40" s="136"/>
      <c r="M40" s="61"/>
      <c r="N40" s="3"/>
    </row>
    <row r="41" spans="1:14" s="21" customFormat="1" ht="12">
      <c r="A41">
        <v>134</v>
      </c>
      <c r="B41" s="1" t="s">
        <v>621</v>
      </c>
      <c r="C41" t="s">
        <v>265</v>
      </c>
      <c r="D41" t="s">
        <v>548</v>
      </c>
      <c r="E41" t="s">
        <v>232</v>
      </c>
      <c r="F41" s="112">
        <v>15000000</v>
      </c>
      <c r="G41" s="56"/>
      <c r="H41" s="3"/>
      <c r="I41" s="3"/>
      <c r="J41" s="56"/>
      <c r="K41" s="3"/>
      <c r="L41" s="136"/>
      <c r="M41" s="61"/>
      <c r="N41" s="3"/>
    </row>
    <row r="42" spans="1:14" s="21" customFormat="1" ht="12">
      <c r="A42">
        <v>141</v>
      </c>
      <c r="B42" s="1" t="s">
        <v>621</v>
      </c>
      <c r="C42" t="s">
        <v>265</v>
      </c>
      <c r="D42" t="s">
        <v>549</v>
      </c>
      <c r="E42" t="s">
        <v>232</v>
      </c>
      <c r="F42" s="112">
        <v>15000000</v>
      </c>
      <c r="G42" s="56"/>
      <c r="H42" s="3"/>
      <c r="I42" s="3"/>
      <c r="J42" s="56"/>
      <c r="K42" s="3"/>
      <c r="L42" s="136"/>
      <c r="M42" s="61"/>
      <c r="N42" s="3"/>
    </row>
    <row r="43" spans="1:14" s="21" customFormat="1" ht="12">
      <c r="A43" s="142">
        <v>2754</v>
      </c>
      <c r="B43" s="1" t="s">
        <v>633</v>
      </c>
      <c r="C43" s="152" t="s">
        <v>265</v>
      </c>
      <c r="D43" s="152" t="s">
        <v>550</v>
      </c>
      <c r="E43" s="152" t="s">
        <v>381</v>
      </c>
      <c r="F43" s="153">
        <v>15000000</v>
      </c>
      <c r="G43" s="56">
        <v>15000000</v>
      </c>
      <c r="H43" s="3">
        <v>36392</v>
      </c>
      <c r="I43" s="3">
        <f>H43+35</f>
        <v>36427</v>
      </c>
      <c r="J43" s="30">
        <v>15000000</v>
      </c>
      <c r="K43" s="3">
        <f>H43+120</f>
        <v>36512</v>
      </c>
      <c r="L43" s="136">
        <v>13150000</v>
      </c>
      <c r="M43" s="61">
        <f>J43-L43</f>
        <v>1850000</v>
      </c>
      <c r="N43" s="3">
        <v>36523</v>
      </c>
    </row>
    <row r="44" spans="1:14" s="21" customFormat="1" ht="12">
      <c r="A44">
        <v>156</v>
      </c>
      <c r="B44" s="1" t="s">
        <v>621</v>
      </c>
      <c r="C44" t="s">
        <v>36</v>
      </c>
      <c r="D44" t="s">
        <v>551</v>
      </c>
      <c r="E44" t="s">
        <v>381</v>
      </c>
      <c r="F44" s="112">
        <v>14500000</v>
      </c>
      <c r="G44" s="56"/>
      <c r="H44" s="3"/>
      <c r="I44" s="3"/>
      <c r="J44" s="56"/>
      <c r="K44" s="3"/>
      <c r="L44" s="136"/>
      <c r="M44" s="61"/>
      <c r="N44" s="3"/>
    </row>
    <row r="45" spans="1:14" s="21" customFormat="1" ht="12">
      <c r="A45" s="142">
        <v>2755</v>
      </c>
      <c r="B45" s="1" t="s">
        <v>633</v>
      </c>
      <c r="C45" s="152" t="s">
        <v>36</v>
      </c>
      <c r="D45" s="152" t="s">
        <v>552</v>
      </c>
      <c r="E45" s="152" t="s">
        <v>381</v>
      </c>
      <c r="F45" s="153">
        <v>15000000</v>
      </c>
      <c r="G45" s="56">
        <v>15000000</v>
      </c>
      <c r="H45" s="3">
        <v>36392</v>
      </c>
      <c r="I45" s="3">
        <f>H45+35</f>
        <v>36427</v>
      </c>
      <c r="J45" s="30">
        <v>15000000</v>
      </c>
      <c r="K45" s="3">
        <f>H45+120</f>
        <v>36512</v>
      </c>
      <c r="L45" s="136">
        <v>12200000</v>
      </c>
      <c r="M45" s="61">
        <f>J45-L45</f>
        <v>2800000</v>
      </c>
      <c r="N45" s="3">
        <v>36515</v>
      </c>
    </row>
    <row r="46" spans="1:14" s="21" customFormat="1" ht="12">
      <c r="A46">
        <v>164</v>
      </c>
      <c r="B46" s="1" t="s">
        <v>621</v>
      </c>
      <c r="C46" t="s">
        <v>36</v>
      </c>
      <c r="D46" t="s">
        <v>553</v>
      </c>
      <c r="E46" t="s">
        <v>381</v>
      </c>
      <c r="F46" s="112">
        <v>15000000</v>
      </c>
      <c r="G46" s="56"/>
      <c r="H46" s="3"/>
      <c r="I46" s="3"/>
      <c r="J46" s="56"/>
      <c r="K46" s="3"/>
      <c r="L46" s="136"/>
      <c r="M46" s="61"/>
      <c r="N46" s="3"/>
    </row>
    <row r="47" spans="1:14" s="21" customFormat="1" ht="12">
      <c r="A47">
        <v>169</v>
      </c>
      <c r="B47" s="1" t="s">
        <v>621</v>
      </c>
      <c r="C47" t="s">
        <v>554</v>
      </c>
      <c r="D47" t="s">
        <v>555</v>
      </c>
      <c r="E47" t="s">
        <v>556</v>
      </c>
      <c r="F47" s="112">
        <v>13500000</v>
      </c>
      <c r="G47" s="56"/>
      <c r="H47" s="3"/>
      <c r="I47" s="3"/>
      <c r="J47" s="56"/>
      <c r="K47" s="3"/>
      <c r="L47" s="136"/>
      <c r="M47" s="61"/>
      <c r="N47" s="3"/>
    </row>
    <row r="48" spans="1:14" s="21" customFormat="1" ht="12">
      <c r="A48">
        <v>179</v>
      </c>
      <c r="B48" s="1" t="s">
        <v>621</v>
      </c>
      <c r="C48" t="s">
        <v>265</v>
      </c>
      <c r="D48" t="s">
        <v>557</v>
      </c>
      <c r="E48" t="s">
        <v>232</v>
      </c>
      <c r="F48" s="112">
        <v>11129000</v>
      </c>
      <c r="G48" s="56"/>
      <c r="H48" s="3"/>
      <c r="I48" s="3"/>
      <c r="J48" s="56"/>
      <c r="K48" s="3"/>
      <c r="L48" s="136"/>
      <c r="M48" s="61"/>
      <c r="N48" s="3"/>
    </row>
    <row r="49" spans="1:15" s="21" customFormat="1" ht="12">
      <c r="A49">
        <v>185</v>
      </c>
      <c r="B49" s="1" t="s">
        <v>621</v>
      </c>
      <c r="C49" t="s">
        <v>36</v>
      </c>
      <c r="D49" t="s">
        <v>558</v>
      </c>
      <c r="E49" t="s">
        <v>381</v>
      </c>
      <c r="F49" s="112">
        <v>10000000</v>
      </c>
      <c r="G49" s="56"/>
      <c r="H49" s="3"/>
      <c r="I49" s="3"/>
      <c r="J49" s="56"/>
      <c r="K49" s="3"/>
      <c r="L49" s="136"/>
      <c r="M49" s="61"/>
      <c r="N49" s="3"/>
    </row>
    <row r="50" spans="1:15" s="21" customFormat="1" ht="12">
      <c r="A50" s="142">
        <v>2757</v>
      </c>
      <c r="B50" s="1" t="s">
        <v>633</v>
      </c>
      <c r="C50" s="152" t="s">
        <v>36</v>
      </c>
      <c r="D50" s="152" t="s">
        <v>559</v>
      </c>
      <c r="E50" s="152" t="s">
        <v>381</v>
      </c>
      <c r="F50" s="153">
        <v>9000000</v>
      </c>
      <c r="G50" s="56">
        <v>9000000</v>
      </c>
      <c r="H50" s="3">
        <v>36398</v>
      </c>
      <c r="I50" s="3">
        <f>H50+35</f>
        <v>36433</v>
      </c>
      <c r="J50" s="30">
        <v>9000000</v>
      </c>
      <c r="K50" s="3">
        <f>H50+120</f>
        <v>36518</v>
      </c>
      <c r="L50" s="136">
        <v>7045000</v>
      </c>
      <c r="M50" s="61">
        <f>J50-L50</f>
        <v>1955000</v>
      </c>
      <c r="N50" s="3">
        <v>36523</v>
      </c>
      <c r="O50" s="23">
        <v>36526</v>
      </c>
    </row>
    <row r="51" spans="1:15" s="21" customFormat="1" ht="12">
      <c r="A51">
        <v>208</v>
      </c>
      <c r="B51" s="1" t="s">
        <v>621</v>
      </c>
      <c r="C51" t="s">
        <v>36</v>
      </c>
      <c r="D51" t="s">
        <v>560</v>
      </c>
      <c r="E51" t="s">
        <v>381</v>
      </c>
      <c r="F51" s="112">
        <v>8500000</v>
      </c>
      <c r="G51" s="56"/>
      <c r="H51" s="3"/>
      <c r="I51" s="3"/>
      <c r="J51" s="56"/>
      <c r="K51" s="3"/>
      <c r="L51" s="136"/>
      <c r="M51" s="61"/>
      <c r="N51" s="3"/>
    </row>
    <row r="52" spans="1:15" s="21" customFormat="1" ht="12">
      <c r="A52">
        <v>210</v>
      </c>
      <c r="B52" s="1" t="s">
        <v>627</v>
      </c>
      <c r="C52" t="s">
        <v>36</v>
      </c>
      <c r="D52" t="s">
        <v>561</v>
      </c>
      <c r="E52" t="s">
        <v>381</v>
      </c>
      <c r="F52" s="112">
        <v>15000000</v>
      </c>
      <c r="G52" s="56"/>
      <c r="H52" s="3"/>
      <c r="I52" s="3"/>
      <c r="J52" s="56"/>
      <c r="K52" s="3"/>
      <c r="L52" s="136"/>
      <c r="M52" s="61"/>
      <c r="N52" s="3"/>
    </row>
    <row r="53" spans="1:15" s="21" customFormat="1" ht="12">
      <c r="A53" s="142">
        <v>2758</v>
      </c>
      <c r="B53" s="1" t="s">
        <v>627</v>
      </c>
      <c r="C53" s="152" t="s">
        <v>529</v>
      </c>
      <c r="D53" s="152" t="s">
        <v>562</v>
      </c>
      <c r="E53" s="152" t="s">
        <v>381</v>
      </c>
      <c r="F53" s="153">
        <v>14500000</v>
      </c>
      <c r="G53" s="56">
        <v>14500000</v>
      </c>
      <c r="H53" s="3">
        <v>36398</v>
      </c>
      <c r="I53" s="3">
        <f>H53+35</f>
        <v>36433</v>
      </c>
      <c r="J53" s="30">
        <v>14500000</v>
      </c>
      <c r="K53" s="3">
        <f>H53+120</f>
        <v>36518</v>
      </c>
      <c r="L53" s="136"/>
      <c r="M53" s="61">
        <v>14500000</v>
      </c>
      <c r="N53" s="3"/>
    </row>
    <row r="54" spans="1:15" s="21" customFormat="1" ht="12">
      <c r="A54" s="142">
        <v>2759</v>
      </c>
      <c r="B54" s="1" t="s">
        <v>627</v>
      </c>
      <c r="C54" s="152" t="s">
        <v>36</v>
      </c>
      <c r="D54" s="152" t="s">
        <v>563</v>
      </c>
      <c r="E54" s="152" t="s">
        <v>381</v>
      </c>
      <c r="F54" s="153">
        <v>12000000</v>
      </c>
      <c r="G54" s="56">
        <v>12000000</v>
      </c>
      <c r="H54" s="3">
        <v>36398</v>
      </c>
      <c r="I54" s="3">
        <f>H54+35</f>
        <v>36433</v>
      </c>
      <c r="J54" s="30">
        <v>12000000</v>
      </c>
      <c r="K54" s="3">
        <f>H54+120</f>
        <v>36518</v>
      </c>
      <c r="L54" s="136"/>
      <c r="M54" s="61">
        <v>12000000</v>
      </c>
      <c r="N54" s="3">
        <v>36448</v>
      </c>
    </row>
    <row r="55" spans="1:15" s="21" customFormat="1" ht="12">
      <c r="A55">
        <v>220</v>
      </c>
      <c r="B55" s="1" t="s">
        <v>621</v>
      </c>
      <c r="C55" t="s">
        <v>265</v>
      </c>
      <c r="D55" t="s">
        <v>564</v>
      </c>
      <c r="E55" t="s">
        <v>232</v>
      </c>
      <c r="F55" s="112">
        <v>15000000</v>
      </c>
      <c r="G55" s="56"/>
      <c r="H55" s="3"/>
      <c r="I55" s="4"/>
      <c r="J55" s="56"/>
      <c r="K55" s="4"/>
      <c r="L55" s="136"/>
      <c r="M55" s="61"/>
      <c r="N55" s="3"/>
    </row>
    <row r="56" spans="1:15" s="21" customFormat="1" ht="12">
      <c r="A56">
        <v>229</v>
      </c>
      <c r="B56" s="1" t="s">
        <v>621</v>
      </c>
      <c r="C56" t="s">
        <v>36</v>
      </c>
      <c r="D56" t="s">
        <v>565</v>
      </c>
      <c r="E56" t="s">
        <v>381</v>
      </c>
      <c r="F56" s="112">
        <v>10000000</v>
      </c>
      <c r="G56" s="56"/>
      <c r="H56" s="3"/>
      <c r="I56" s="4"/>
      <c r="J56" s="56"/>
      <c r="K56" s="4"/>
      <c r="L56" s="136"/>
      <c r="M56" s="61"/>
      <c r="N56" s="3"/>
    </row>
    <row r="57" spans="1:15" s="21" customFormat="1" ht="12">
      <c r="A57">
        <v>242</v>
      </c>
      <c r="B57" s="1" t="s">
        <v>627</v>
      </c>
      <c r="C57" t="s">
        <v>2</v>
      </c>
      <c r="D57" t="s">
        <v>566</v>
      </c>
      <c r="E57" t="s">
        <v>350</v>
      </c>
      <c r="F57" s="112">
        <v>9000000</v>
      </c>
      <c r="G57" s="56"/>
      <c r="H57" s="3"/>
      <c r="I57" s="4"/>
      <c r="J57" s="56"/>
      <c r="K57" s="4"/>
      <c r="L57" s="136"/>
      <c r="M57" s="61"/>
      <c r="N57" s="3"/>
    </row>
    <row r="58" spans="1:15" s="21" customFormat="1" ht="12">
      <c r="A58">
        <v>243</v>
      </c>
      <c r="B58" s="1" t="s">
        <v>621</v>
      </c>
      <c r="C58" t="s">
        <v>265</v>
      </c>
      <c r="D58" t="s">
        <v>567</v>
      </c>
      <c r="E58" t="s">
        <v>232</v>
      </c>
      <c r="F58" s="112">
        <v>8112500</v>
      </c>
      <c r="G58" s="56"/>
      <c r="H58" s="3"/>
      <c r="I58" s="4"/>
      <c r="J58" s="56"/>
      <c r="K58" s="4"/>
      <c r="L58" s="136"/>
      <c r="M58" s="61"/>
      <c r="N58" s="3"/>
    </row>
    <row r="59" spans="1:15" s="21" customFormat="1" ht="12">
      <c r="A59">
        <v>253</v>
      </c>
      <c r="B59" s="1" t="s">
        <v>621</v>
      </c>
      <c r="C59" t="s">
        <v>36</v>
      </c>
      <c r="D59" t="s">
        <v>568</v>
      </c>
      <c r="E59" t="s">
        <v>381</v>
      </c>
      <c r="F59" s="112">
        <v>15000000</v>
      </c>
      <c r="G59" s="56"/>
      <c r="H59" s="3"/>
      <c r="I59" s="4"/>
      <c r="J59" s="56"/>
      <c r="K59" s="4"/>
      <c r="L59" s="136"/>
      <c r="M59" s="61"/>
      <c r="N59" s="3"/>
    </row>
    <row r="60" spans="1:15" s="21" customFormat="1" ht="12">
      <c r="A60" s="142">
        <v>2761</v>
      </c>
      <c r="B60" s="1" t="s">
        <v>621</v>
      </c>
      <c r="C60" s="152" t="s">
        <v>265</v>
      </c>
      <c r="D60" s="152" t="s">
        <v>569</v>
      </c>
      <c r="E60" s="152" t="s">
        <v>232</v>
      </c>
      <c r="F60" s="153">
        <v>9435000</v>
      </c>
      <c r="G60" s="56">
        <v>9435000</v>
      </c>
      <c r="H60" s="3">
        <v>36399</v>
      </c>
      <c r="I60" s="3">
        <f>H60+35</f>
        <v>36434</v>
      </c>
      <c r="J60" s="56">
        <v>9435000</v>
      </c>
      <c r="K60" s="3">
        <f>H60+120</f>
        <v>36519</v>
      </c>
      <c r="L60" s="136"/>
      <c r="M60" s="61">
        <v>9435000</v>
      </c>
      <c r="N60" s="3">
        <v>36448</v>
      </c>
    </row>
    <row r="61" spans="1:15" s="21" customFormat="1" ht="12">
      <c r="A61" s="142">
        <v>2762</v>
      </c>
      <c r="B61" s="1" t="s">
        <v>627</v>
      </c>
      <c r="C61" s="152" t="s">
        <v>529</v>
      </c>
      <c r="D61" s="152" t="s">
        <v>570</v>
      </c>
      <c r="E61" s="152" t="s">
        <v>381</v>
      </c>
      <c r="F61" s="153">
        <v>15000000</v>
      </c>
      <c r="G61" s="56">
        <v>15000000</v>
      </c>
      <c r="H61" s="3">
        <v>36399</v>
      </c>
      <c r="I61" s="3">
        <f>H61+35</f>
        <v>36434</v>
      </c>
      <c r="J61" s="30">
        <v>15000000</v>
      </c>
      <c r="K61" s="3">
        <f>H61+120</f>
        <v>36519</v>
      </c>
      <c r="L61" s="136"/>
      <c r="M61" s="61">
        <v>15000000</v>
      </c>
      <c r="N61" s="3"/>
    </row>
    <row r="62" spans="1:15" s="21" customFormat="1" ht="12">
      <c r="A62">
        <v>273</v>
      </c>
      <c r="B62" s="1" t="s">
        <v>621</v>
      </c>
      <c r="C62" t="s">
        <v>265</v>
      </c>
      <c r="D62" t="s">
        <v>571</v>
      </c>
      <c r="E62" t="s">
        <v>232</v>
      </c>
      <c r="F62" s="112">
        <v>8000000</v>
      </c>
      <c r="G62" s="56"/>
      <c r="H62" s="3"/>
      <c r="I62" s="4"/>
      <c r="J62" s="30"/>
      <c r="K62" s="4"/>
      <c r="L62" s="136"/>
      <c r="M62" s="61"/>
      <c r="N62" s="3"/>
    </row>
    <row r="63" spans="1:15" s="21" customFormat="1" ht="12">
      <c r="A63" s="142">
        <v>2763</v>
      </c>
      <c r="B63" s="1" t="s">
        <v>621</v>
      </c>
      <c r="C63" s="152" t="s">
        <v>265</v>
      </c>
      <c r="D63" s="152" t="s">
        <v>572</v>
      </c>
      <c r="E63" s="152" t="s">
        <v>381</v>
      </c>
      <c r="F63" s="153">
        <v>15000000</v>
      </c>
      <c r="G63" s="56">
        <v>15000000</v>
      </c>
      <c r="H63" s="3">
        <v>36399</v>
      </c>
      <c r="I63" s="3">
        <f>H63+35</f>
        <v>36434</v>
      </c>
      <c r="J63" s="30">
        <v>15000000</v>
      </c>
      <c r="K63" s="3">
        <f>H63+120</f>
        <v>36519</v>
      </c>
      <c r="L63" s="136"/>
      <c r="M63" s="61">
        <v>15000000</v>
      </c>
      <c r="N63" s="3">
        <v>36448</v>
      </c>
    </row>
    <row r="64" spans="1:15" s="21" customFormat="1" ht="12">
      <c r="A64" s="142">
        <v>2764</v>
      </c>
      <c r="B64" s="1" t="s">
        <v>627</v>
      </c>
      <c r="C64" s="152" t="s">
        <v>529</v>
      </c>
      <c r="D64" s="152" t="s">
        <v>573</v>
      </c>
      <c r="E64" s="152" t="s">
        <v>381</v>
      </c>
      <c r="F64" s="153">
        <v>14000000</v>
      </c>
      <c r="G64" s="56">
        <v>14000000</v>
      </c>
      <c r="H64" s="3">
        <v>36399</v>
      </c>
      <c r="I64" s="3">
        <f>H64+35</f>
        <v>36434</v>
      </c>
      <c r="J64" s="30">
        <v>14000000</v>
      </c>
      <c r="K64" s="3">
        <f>H64+120</f>
        <v>36519</v>
      </c>
      <c r="L64" s="136"/>
      <c r="M64" s="61">
        <v>14000000</v>
      </c>
      <c r="N64" s="3"/>
    </row>
    <row r="65" spans="1:14" s="21" customFormat="1" ht="12">
      <c r="A65">
        <v>287</v>
      </c>
      <c r="B65" s="1" t="s">
        <v>627</v>
      </c>
      <c r="C65" t="s">
        <v>2</v>
      </c>
      <c r="D65" t="s">
        <v>574</v>
      </c>
      <c r="E65" t="s">
        <v>349</v>
      </c>
      <c r="F65" s="112">
        <v>5000000</v>
      </c>
      <c r="G65" s="56"/>
      <c r="H65" s="3"/>
      <c r="I65" s="4"/>
      <c r="J65" s="56"/>
      <c r="K65" s="4"/>
      <c r="L65" s="136"/>
      <c r="M65" s="61"/>
      <c r="N65" s="3"/>
    </row>
    <row r="66" spans="1:14" s="21" customFormat="1" ht="12">
      <c r="A66" s="142">
        <v>2765</v>
      </c>
      <c r="B66" s="1" t="s">
        <v>627</v>
      </c>
      <c r="C66" s="152" t="s">
        <v>265</v>
      </c>
      <c r="D66" s="152" t="s">
        <v>575</v>
      </c>
      <c r="E66" s="152" t="s">
        <v>232</v>
      </c>
      <c r="F66" s="153">
        <v>11500000</v>
      </c>
      <c r="G66" s="56">
        <v>11500000</v>
      </c>
      <c r="H66" s="3">
        <v>36399</v>
      </c>
      <c r="I66" s="3">
        <f>H66+35</f>
        <v>36434</v>
      </c>
      <c r="J66" s="56"/>
      <c r="K66" s="3">
        <f>H66+120</f>
        <v>36519</v>
      </c>
      <c r="L66" s="136"/>
      <c r="M66" s="61">
        <v>11500000</v>
      </c>
      <c r="N66" s="3"/>
    </row>
    <row r="67" spans="1:14" s="21" customFormat="1">
      <c r="A67" s="55"/>
      <c r="B67" s="1"/>
      <c r="C67" s="1"/>
      <c r="D67" s="1"/>
      <c r="E67" s="1"/>
      <c r="F67" s="61"/>
      <c r="G67" s="56"/>
      <c r="H67" s="3"/>
      <c r="I67" s="3"/>
      <c r="J67" s="56"/>
      <c r="K67" s="3"/>
      <c r="L67" s="136"/>
      <c r="M67" s="61"/>
      <c r="N67" s="3"/>
    </row>
    <row r="68" spans="1:14" s="21" customFormat="1">
      <c r="A68" s="55" t="s">
        <v>3</v>
      </c>
      <c r="B68" s="1"/>
      <c r="C68" s="1"/>
      <c r="D68" s="1"/>
      <c r="E68" s="1"/>
      <c r="F68" s="61"/>
      <c r="G68" s="56"/>
      <c r="H68" s="3"/>
      <c r="I68" s="3"/>
      <c r="J68" s="56"/>
      <c r="K68" s="3"/>
      <c r="L68" s="136"/>
      <c r="M68" s="61"/>
      <c r="N68" s="3"/>
    </row>
    <row r="69" spans="1:14" s="21" customFormat="1">
      <c r="A69" s="55"/>
      <c r="B69" s="1"/>
      <c r="C69" s="1"/>
      <c r="D69" s="1"/>
      <c r="E69" s="1"/>
      <c r="F69" s="61"/>
      <c r="G69" s="56"/>
      <c r="H69" s="3"/>
      <c r="I69" s="3"/>
      <c r="J69" s="56"/>
      <c r="K69" s="3"/>
      <c r="L69" s="136"/>
      <c r="M69" s="61"/>
      <c r="N69" s="3"/>
    </row>
    <row r="70" spans="1:14" s="21" customFormat="1" ht="12">
      <c r="A70" s="142">
        <v>2765</v>
      </c>
      <c r="B70" s="1" t="s">
        <v>633</v>
      </c>
      <c r="C70" s="152" t="s">
        <v>36</v>
      </c>
      <c r="D70" s="152" t="s">
        <v>576</v>
      </c>
      <c r="E70" s="152" t="s">
        <v>381</v>
      </c>
      <c r="F70" s="153">
        <v>15000000</v>
      </c>
      <c r="G70" s="56">
        <v>15000000</v>
      </c>
      <c r="H70" s="3">
        <v>36404</v>
      </c>
      <c r="I70" s="3">
        <f>H70+35</f>
        <v>36439</v>
      </c>
      <c r="J70" s="56">
        <v>15000000</v>
      </c>
      <c r="K70" s="3">
        <f>H70+120</f>
        <v>36524</v>
      </c>
      <c r="L70" s="136">
        <v>13700000</v>
      </c>
      <c r="M70" s="61">
        <f>J70-L70</f>
        <v>1300000</v>
      </c>
      <c r="N70" s="3">
        <v>36516</v>
      </c>
    </row>
    <row r="71" spans="1:14" s="21" customFormat="1" ht="12">
      <c r="A71" s="142">
        <v>2766</v>
      </c>
      <c r="B71" s="1" t="s">
        <v>621</v>
      </c>
      <c r="C71" s="152" t="s">
        <v>36</v>
      </c>
      <c r="D71" s="152" t="s">
        <v>577</v>
      </c>
      <c r="E71" s="152" t="s">
        <v>381</v>
      </c>
      <c r="F71" s="153">
        <v>15000000</v>
      </c>
      <c r="G71" s="56">
        <v>15000000</v>
      </c>
      <c r="H71" s="3">
        <v>36405</v>
      </c>
      <c r="I71" s="3">
        <f>H71+35</f>
        <v>36440</v>
      </c>
      <c r="J71" s="56"/>
      <c r="K71" s="3">
        <f>H71+120</f>
        <v>36525</v>
      </c>
      <c r="L71" s="136"/>
      <c r="M71" s="61">
        <v>15000000</v>
      </c>
      <c r="N71" s="3">
        <v>36424</v>
      </c>
    </row>
    <row r="72" spans="1:14" s="21" customFormat="1" ht="12">
      <c r="A72" s="142">
        <v>2769</v>
      </c>
      <c r="B72" s="1" t="s">
        <v>627</v>
      </c>
      <c r="C72" s="152" t="s">
        <v>529</v>
      </c>
      <c r="D72" s="152" t="s">
        <v>578</v>
      </c>
      <c r="E72" s="152" t="s">
        <v>381</v>
      </c>
      <c r="F72" s="153">
        <v>15000000</v>
      </c>
      <c r="G72" s="56">
        <v>15000000</v>
      </c>
      <c r="H72" s="3">
        <v>36406</v>
      </c>
      <c r="I72" s="3">
        <f>H72+35</f>
        <v>36441</v>
      </c>
      <c r="J72" s="56"/>
      <c r="K72" s="3">
        <f>H72+120</f>
        <v>36526</v>
      </c>
      <c r="L72" s="136"/>
      <c r="M72" s="61">
        <v>15000000</v>
      </c>
      <c r="N72" s="3">
        <v>36442</v>
      </c>
    </row>
    <row r="73" spans="1:14" s="21" customFormat="1" ht="12">
      <c r="A73" s="142">
        <v>2774</v>
      </c>
      <c r="B73" s="1" t="s">
        <v>633</v>
      </c>
      <c r="C73" s="152" t="s">
        <v>265</v>
      </c>
      <c r="D73" s="152" t="s">
        <v>579</v>
      </c>
      <c r="E73" s="152" t="s">
        <v>346</v>
      </c>
      <c r="F73" s="153">
        <v>9000000</v>
      </c>
      <c r="G73" s="56">
        <v>9000000</v>
      </c>
      <c r="H73" s="3">
        <v>36418</v>
      </c>
      <c r="I73" s="3">
        <f>H73+35</f>
        <v>36453</v>
      </c>
      <c r="J73" s="56">
        <v>9000000</v>
      </c>
      <c r="K73" s="3">
        <f>H73+120</f>
        <v>36538</v>
      </c>
      <c r="L73" s="136">
        <v>7575000</v>
      </c>
      <c r="M73" s="61">
        <f>J73-L73</f>
        <v>1425000</v>
      </c>
      <c r="N73" s="3">
        <v>36511</v>
      </c>
    </row>
    <row r="74" spans="1:14" s="21" customFormat="1" ht="12">
      <c r="A74">
        <v>106</v>
      </c>
      <c r="B74" s="1" t="s">
        <v>621</v>
      </c>
      <c r="C74" t="s">
        <v>265</v>
      </c>
      <c r="D74" t="s">
        <v>580</v>
      </c>
      <c r="E74" t="s">
        <v>232</v>
      </c>
      <c r="F74" s="112">
        <v>13300000</v>
      </c>
      <c r="G74" s="56"/>
      <c r="H74" s="3"/>
      <c r="I74" s="4"/>
      <c r="J74" s="56"/>
      <c r="K74" s="3"/>
      <c r="L74" s="136"/>
      <c r="M74" s="61"/>
      <c r="N74" s="3"/>
    </row>
    <row r="75" spans="1:14" s="21" customFormat="1" ht="12">
      <c r="A75" s="142">
        <v>2782</v>
      </c>
      <c r="B75" s="1" t="s">
        <v>633</v>
      </c>
      <c r="C75" s="152" t="s">
        <v>265</v>
      </c>
      <c r="D75" s="152" t="s">
        <v>581</v>
      </c>
      <c r="E75" s="152" t="s">
        <v>232</v>
      </c>
      <c r="F75" s="153">
        <v>13500000</v>
      </c>
      <c r="G75" s="56">
        <v>13500000</v>
      </c>
      <c r="H75" s="3">
        <v>36441</v>
      </c>
      <c r="I75" s="3">
        <f>H75+35</f>
        <v>36476</v>
      </c>
      <c r="J75" s="56">
        <v>13500000</v>
      </c>
      <c r="K75" s="3">
        <f>H75+120</f>
        <v>36561</v>
      </c>
      <c r="L75" s="136">
        <v>13350000</v>
      </c>
      <c r="M75" s="61">
        <f>J75-L75</f>
        <v>150000</v>
      </c>
      <c r="N75" s="3">
        <v>36561</v>
      </c>
    </row>
    <row r="76" spans="1:14" s="21" customFormat="1" ht="12">
      <c r="A76">
        <v>172</v>
      </c>
      <c r="B76" s="1" t="s">
        <v>621</v>
      </c>
      <c r="C76" t="s">
        <v>36</v>
      </c>
      <c r="D76" t="s">
        <v>582</v>
      </c>
      <c r="E76" t="s">
        <v>381</v>
      </c>
      <c r="F76" s="112">
        <v>15000000</v>
      </c>
      <c r="G76" s="56"/>
      <c r="H76" s="3"/>
      <c r="I76" s="4"/>
      <c r="J76" s="56"/>
      <c r="K76" s="3"/>
      <c r="L76" s="136"/>
      <c r="M76" s="61"/>
      <c r="N76" s="3"/>
    </row>
    <row r="77" spans="1:14" s="21" customFormat="1" ht="12">
      <c r="A77" s="142">
        <v>2792</v>
      </c>
      <c r="B77" s="1" t="s">
        <v>633</v>
      </c>
      <c r="C77" s="152" t="s">
        <v>36</v>
      </c>
      <c r="D77" s="152" t="s">
        <v>583</v>
      </c>
      <c r="E77" s="152" t="s">
        <v>381</v>
      </c>
      <c r="F77" s="153">
        <v>11500000</v>
      </c>
      <c r="G77" s="56">
        <v>11500000</v>
      </c>
      <c r="H77" s="3">
        <v>36481</v>
      </c>
      <c r="I77" s="3">
        <f>H77+35</f>
        <v>36516</v>
      </c>
      <c r="J77" s="56">
        <v>11500000</v>
      </c>
      <c r="K77" s="3">
        <f>H77+120</f>
        <v>36601</v>
      </c>
      <c r="L77" s="136">
        <v>9500000</v>
      </c>
      <c r="M77" s="61">
        <v>2000000</v>
      </c>
      <c r="N77" s="3">
        <v>36603</v>
      </c>
    </row>
    <row r="78" spans="1:14" s="21" customFormat="1" ht="12">
      <c r="A78" s="142">
        <v>2794</v>
      </c>
      <c r="B78" s="1" t="s">
        <v>621</v>
      </c>
      <c r="C78" s="152" t="s">
        <v>265</v>
      </c>
      <c r="D78" s="152" t="s">
        <v>584</v>
      </c>
      <c r="E78" s="152" t="s">
        <v>381</v>
      </c>
      <c r="F78" s="153">
        <v>11000000</v>
      </c>
      <c r="G78" s="56">
        <v>11000000</v>
      </c>
      <c r="H78" s="3">
        <v>36494</v>
      </c>
      <c r="I78" s="3">
        <f>H78+35</f>
        <v>36529</v>
      </c>
      <c r="J78" s="56">
        <v>11000000</v>
      </c>
      <c r="K78" s="3">
        <f>H78+120</f>
        <v>36614</v>
      </c>
      <c r="L78" s="136">
        <v>0</v>
      </c>
      <c r="M78" s="61">
        <v>11000000</v>
      </c>
      <c r="N78" s="3">
        <v>36595</v>
      </c>
    </row>
    <row r="79" spans="1:14" s="21" customFormat="1" ht="12">
      <c r="A79">
        <v>266</v>
      </c>
      <c r="B79" s="1" t="s">
        <v>300</v>
      </c>
      <c r="C79" t="s">
        <v>36</v>
      </c>
      <c r="D79" t="s">
        <v>585</v>
      </c>
      <c r="E79" t="s">
        <v>381</v>
      </c>
      <c r="F79" s="112">
        <v>13500000</v>
      </c>
      <c r="G79" s="56"/>
      <c r="H79" s="3"/>
      <c r="I79" s="3"/>
      <c r="J79" s="56"/>
      <c r="K79" s="3"/>
      <c r="L79" s="136"/>
      <c r="M79" s="61"/>
      <c r="N79" s="3"/>
    </row>
    <row r="80" spans="1:14" s="21" customFormat="1" ht="12">
      <c r="A80">
        <v>267</v>
      </c>
      <c r="B80" s="1" t="s">
        <v>300</v>
      </c>
      <c r="C80" t="s">
        <v>265</v>
      </c>
      <c r="D80" t="s">
        <v>586</v>
      </c>
      <c r="E80" t="s">
        <v>381</v>
      </c>
      <c r="F80" s="112">
        <v>15000000</v>
      </c>
      <c r="G80" s="56"/>
      <c r="H80" s="3"/>
      <c r="I80" s="3"/>
      <c r="J80" s="56"/>
      <c r="K80" s="3"/>
      <c r="L80" s="136"/>
      <c r="M80" s="61"/>
      <c r="N80" s="3"/>
    </row>
    <row r="81" spans="1:20" s="21" customFormat="1">
      <c r="A81" s="55"/>
      <c r="B81" s="1"/>
      <c r="C81" s="1"/>
      <c r="D81" s="1"/>
      <c r="E81" s="1"/>
      <c r="F81" s="61"/>
      <c r="G81" s="56"/>
      <c r="H81" s="3"/>
      <c r="I81" s="3"/>
      <c r="J81" s="56"/>
      <c r="K81" s="3"/>
      <c r="L81" s="136"/>
      <c r="M81" s="61"/>
      <c r="N81" s="3"/>
    </row>
    <row r="82" spans="1:20" s="26" customFormat="1" ht="11.25" thickBot="1">
      <c r="A82" s="21"/>
      <c r="B82" s="21"/>
      <c r="C82" s="21"/>
      <c r="D82" s="21"/>
      <c r="E82" s="21"/>
      <c r="F82" s="66"/>
      <c r="G82" s="75"/>
      <c r="H82" s="3"/>
      <c r="I82" s="3"/>
      <c r="J82" s="75"/>
      <c r="K82" s="3"/>
      <c r="L82" s="138"/>
      <c r="M82" s="83"/>
      <c r="N82" s="4"/>
    </row>
    <row r="83" spans="1:20" s="26" customFormat="1">
      <c r="A83" s="21"/>
      <c r="B83" s="21"/>
      <c r="C83" s="21"/>
      <c r="D83" s="21"/>
      <c r="E83" s="21"/>
      <c r="F83" s="67"/>
      <c r="G83" s="72"/>
      <c r="H83" s="3"/>
      <c r="I83" s="3"/>
      <c r="J83" s="72"/>
      <c r="K83" s="3"/>
      <c r="L83" s="133"/>
      <c r="M83" s="57"/>
      <c r="N83" s="4"/>
    </row>
    <row r="84" spans="1:20" s="26" customFormat="1">
      <c r="A84" s="1"/>
      <c r="B84" s="1"/>
      <c r="C84" s="12" t="s">
        <v>103</v>
      </c>
      <c r="D84" s="12"/>
      <c r="E84" s="12"/>
      <c r="F84" s="56">
        <f>SUM(F8:F81)</f>
        <v>900076500</v>
      </c>
      <c r="G84" s="76">
        <f>SUM(G8:G81)</f>
        <v>452535000</v>
      </c>
      <c r="H84" s="3"/>
      <c r="I84" s="3"/>
      <c r="J84" s="76">
        <f>SUM(J8:J82)</f>
        <v>350385000</v>
      </c>
      <c r="K84" s="3"/>
      <c r="L84" s="136">
        <f>SUM(L8:L82)</f>
        <v>166150000</v>
      </c>
      <c r="M84" s="56">
        <f>SUM(M8:M82)</f>
        <v>285885000</v>
      </c>
      <c r="N84" s="4"/>
    </row>
    <row r="85" spans="1:20">
      <c r="C85" s="12"/>
      <c r="D85" s="12"/>
      <c r="E85" s="12"/>
      <c r="G85" s="76"/>
      <c r="H85" s="3"/>
      <c r="I85" s="3"/>
      <c r="J85" s="76"/>
      <c r="K85" s="3"/>
      <c r="N85" s="4"/>
      <c r="O85" s="5"/>
      <c r="P85" s="5"/>
      <c r="Q85" s="5"/>
      <c r="R85" s="5"/>
      <c r="S85" s="5"/>
      <c r="T85" s="5"/>
    </row>
    <row r="86" spans="1:20">
      <c r="A86" s="12"/>
      <c r="B86" s="12"/>
      <c r="C86" s="12" t="s">
        <v>264</v>
      </c>
      <c r="D86" s="12"/>
      <c r="E86" s="12"/>
      <c r="F86" s="56">
        <f>SUM(F84-G84)</f>
        <v>447541500</v>
      </c>
      <c r="G86" s="79"/>
      <c r="H86" s="4"/>
      <c r="I86" s="4"/>
      <c r="J86" s="73"/>
      <c r="K86" s="4"/>
      <c r="L86" s="137"/>
      <c r="M86" s="63"/>
      <c r="N86" s="4"/>
      <c r="O86" s="5"/>
      <c r="P86" s="5"/>
      <c r="Q86" s="5"/>
      <c r="R86" s="5"/>
      <c r="S86" s="5"/>
      <c r="T86" s="5"/>
    </row>
    <row r="87" spans="1:20">
      <c r="A87" s="12"/>
      <c r="B87" s="12"/>
      <c r="C87" s="12"/>
      <c r="D87" s="12"/>
      <c r="E87" s="12"/>
      <c r="G87" s="73"/>
      <c r="H87" s="4"/>
      <c r="I87" s="4"/>
      <c r="J87" s="73"/>
      <c r="K87" s="4"/>
      <c r="L87" s="137"/>
      <c r="M87" s="63"/>
      <c r="N87" s="4"/>
      <c r="O87" s="5"/>
      <c r="P87" s="5"/>
      <c r="Q87" s="5"/>
      <c r="R87" s="5"/>
      <c r="S87" s="5"/>
      <c r="T87" s="5"/>
    </row>
    <row r="88" spans="1:20">
      <c r="A88" s="12"/>
      <c r="B88" s="12"/>
      <c r="C88" s="12" t="s">
        <v>37</v>
      </c>
      <c r="D88" s="12"/>
      <c r="E88" s="12"/>
      <c r="F88" s="56">
        <f>+C1-G84+M84</f>
        <v>-101052229</v>
      </c>
      <c r="G88" s="73"/>
      <c r="H88" s="73"/>
      <c r="I88" s="4"/>
      <c r="J88" s="73"/>
      <c r="K88" s="4"/>
      <c r="L88" s="137"/>
      <c r="M88" s="63"/>
      <c r="N88" s="4"/>
      <c r="O88" s="5"/>
      <c r="P88" s="5"/>
      <c r="Q88" s="5"/>
      <c r="R88" s="5"/>
      <c r="S88" s="5"/>
      <c r="T88" s="5"/>
    </row>
    <row r="90" spans="1:20">
      <c r="B90" s="80"/>
      <c r="C90" s="81"/>
      <c r="D90" s="81"/>
      <c r="E90" s="81"/>
      <c r="F90" s="56"/>
      <c r="G90" s="48"/>
      <c r="H90" s="48"/>
    </row>
    <row r="92" spans="1:20">
      <c r="C92" s="12"/>
      <c r="D92" s="12"/>
      <c r="E92" s="12"/>
      <c r="F92" s="56"/>
    </row>
    <row r="96" spans="1:20">
      <c r="A96" s="39"/>
      <c r="B96" s="39"/>
      <c r="C96" s="39"/>
      <c r="D96" s="39"/>
      <c r="E96" s="39"/>
      <c r="F96" s="39"/>
      <c r="G96" s="39"/>
      <c r="H96" s="39"/>
      <c r="I96" s="39"/>
      <c r="J96" s="39"/>
    </row>
    <row r="98" spans="1:14">
      <c r="A98" s="385"/>
      <c r="B98" s="385"/>
      <c r="C98" s="385"/>
      <c r="D98" s="385"/>
      <c r="E98" s="385"/>
      <c r="F98" s="385"/>
      <c r="G98" s="385"/>
      <c r="H98" s="385"/>
      <c r="I98" s="385"/>
      <c r="J98" s="385"/>
      <c r="K98" s="385"/>
      <c r="L98" s="385"/>
      <c r="M98" s="385"/>
      <c r="N98" s="385"/>
    </row>
    <row r="100" spans="1:14">
      <c r="A100" s="386"/>
      <c r="B100" s="386"/>
      <c r="C100" s="386"/>
      <c r="D100" s="386"/>
      <c r="E100" s="386"/>
      <c r="F100" s="386"/>
      <c r="G100" s="386"/>
      <c r="H100" s="386"/>
      <c r="I100" s="386"/>
      <c r="J100" s="386"/>
      <c r="K100" s="386"/>
      <c r="L100" s="386"/>
      <c r="M100" s="386"/>
      <c r="N100" s="386"/>
    </row>
    <row r="102" spans="1:14">
      <c r="A102" s="386"/>
      <c r="B102" s="386"/>
      <c r="C102" s="386"/>
      <c r="D102" s="386"/>
      <c r="E102" s="386"/>
      <c r="F102" s="386"/>
      <c r="G102" s="386"/>
      <c r="H102" s="386"/>
      <c r="I102" s="386"/>
      <c r="J102" s="386"/>
      <c r="K102" s="386"/>
      <c r="L102" s="386"/>
      <c r="M102" s="386"/>
      <c r="N102" s="386"/>
    </row>
  </sheetData>
  <mergeCells count="3">
    <mergeCell ref="A102:N102"/>
    <mergeCell ref="A98:N98"/>
    <mergeCell ref="A100:N100"/>
  </mergeCells>
  <phoneticPr fontId="0" type="noConversion"/>
  <pageMargins left="0.75" right="0.75" top="1" bottom="1" header="0.5" footer="0.5"/>
  <pageSetup scale="51" fitToHeight="2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workbookViewId="0">
      <selection activeCell="M12" sqref="M12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11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31220932</v>
      </c>
      <c r="D1" s="7"/>
      <c r="E1" s="7"/>
      <c r="F1" s="62"/>
      <c r="G1" s="68" t="s">
        <v>640</v>
      </c>
      <c r="H1" s="132">
        <v>250000</v>
      </c>
      <c r="I1" s="9" t="s">
        <v>250</v>
      </c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41</v>
      </c>
      <c r="B2" s="20"/>
      <c r="C2" s="25">
        <v>22947385</v>
      </c>
      <c r="D2" s="67" t="s">
        <v>164</v>
      </c>
      <c r="E2" s="25"/>
      <c r="G2" s="57"/>
      <c r="H2" s="133">
        <v>15000000</v>
      </c>
      <c r="I2" s="23" t="s">
        <v>64</v>
      </c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 s="21" customFormat="1">
      <c r="A3" s="54"/>
      <c r="B3" s="20"/>
      <c r="C3" s="25">
        <f>C1-C2</f>
        <v>8273547</v>
      </c>
      <c r="D3" s="67" t="s">
        <v>165</v>
      </c>
      <c r="E3" s="25"/>
      <c r="G3" s="57"/>
      <c r="H3" s="23"/>
      <c r="I3" s="23"/>
      <c r="J3" s="57"/>
      <c r="K3" s="23"/>
      <c r="L3" s="65"/>
      <c r="M3" s="65"/>
      <c r="N3" s="42"/>
      <c r="O3" s="20"/>
      <c r="P3" s="20"/>
      <c r="Q3" s="20"/>
      <c r="R3" s="20"/>
      <c r="S3" s="20"/>
      <c r="T3" s="20"/>
    </row>
    <row r="4" spans="1:20" s="21" customFormat="1">
      <c r="A4" s="54"/>
      <c r="B4" s="20"/>
      <c r="C4" s="22"/>
      <c r="D4" s="22"/>
      <c r="E4" s="22"/>
      <c r="F4" s="67"/>
      <c r="G4" s="57"/>
      <c r="H4" s="23"/>
      <c r="I4" s="23"/>
      <c r="J4" s="57"/>
      <c r="K4" s="23"/>
      <c r="L4" s="65"/>
      <c r="M4" s="65"/>
      <c r="N4" s="42"/>
      <c r="O4" s="20"/>
      <c r="P4" s="20"/>
      <c r="Q4" s="20"/>
      <c r="R4" s="20"/>
      <c r="S4" s="20"/>
      <c r="T4" s="20"/>
    </row>
    <row r="5" spans="1:20">
      <c r="A5" s="45"/>
      <c r="B5" s="21"/>
      <c r="C5" s="20"/>
      <c r="D5" s="20"/>
      <c r="E5" s="20"/>
      <c r="F5" s="67"/>
      <c r="G5" s="57"/>
      <c r="H5" s="23"/>
      <c r="I5" s="23"/>
      <c r="J5" s="57"/>
      <c r="K5" s="23"/>
      <c r="L5" s="67"/>
      <c r="M5" s="67"/>
      <c r="N5" s="42"/>
      <c r="O5" s="20"/>
      <c r="P5" s="20"/>
      <c r="Q5" s="20"/>
      <c r="R5" s="20"/>
      <c r="S5" s="20"/>
      <c r="T5" s="20"/>
    </row>
    <row r="6" spans="1:20" s="12" customFormat="1">
      <c r="A6" s="45" t="s">
        <v>215</v>
      </c>
      <c r="B6" s="20" t="s">
        <v>242</v>
      </c>
      <c r="C6" s="20" t="s">
        <v>197</v>
      </c>
      <c r="D6" s="22" t="s">
        <v>282</v>
      </c>
      <c r="E6" s="20" t="s">
        <v>268</v>
      </c>
      <c r="F6" s="65" t="s">
        <v>151</v>
      </c>
      <c r="G6" s="77" t="s">
        <v>30</v>
      </c>
      <c r="H6" s="24" t="s">
        <v>74</v>
      </c>
      <c r="I6" s="24" t="s">
        <v>218</v>
      </c>
      <c r="J6" s="77" t="s">
        <v>19</v>
      </c>
      <c r="K6" s="24" t="s">
        <v>252</v>
      </c>
      <c r="L6" s="65" t="s">
        <v>168</v>
      </c>
      <c r="M6" s="65" t="s">
        <v>267</v>
      </c>
      <c r="N6" s="42" t="s">
        <v>148</v>
      </c>
      <c r="O6" s="20"/>
      <c r="P6" s="20"/>
      <c r="Q6" s="20"/>
      <c r="R6" s="20"/>
      <c r="S6" s="20"/>
      <c r="T6" s="20"/>
    </row>
    <row r="7" spans="1:20" s="20" customFormat="1">
      <c r="A7" s="45" t="s">
        <v>281</v>
      </c>
      <c r="B7" s="21"/>
      <c r="D7" s="22"/>
      <c r="E7" s="22"/>
      <c r="F7" s="65" t="s">
        <v>259</v>
      </c>
      <c r="G7" s="77" t="s">
        <v>259</v>
      </c>
      <c r="H7" s="24" t="s">
        <v>34</v>
      </c>
      <c r="I7" s="24" t="s">
        <v>102</v>
      </c>
      <c r="J7" s="77" t="s">
        <v>259</v>
      </c>
      <c r="K7" s="24" t="s">
        <v>102</v>
      </c>
      <c r="L7" s="65" t="s">
        <v>259</v>
      </c>
      <c r="M7" s="65" t="s">
        <v>259</v>
      </c>
      <c r="N7" s="42" t="s">
        <v>21</v>
      </c>
    </row>
    <row r="8" spans="1:20" s="12" customFormat="1" ht="11.25" thickBot="1">
      <c r="A8" s="46" t="s">
        <v>207</v>
      </c>
      <c r="B8" s="15"/>
      <c r="C8" s="15"/>
      <c r="D8" s="15"/>
      <c r="E8" s="15"/>
      <c r="F8" s="64"/>
      <c r="G8" s="70"/>
      <c r="H8" s="18"/>
      <c r="I8" s="18"/>
      <c r="J8" s="70"/>
      <c r="K8" s="18"/>
      <c r="L8" s="64"/>
      <c r="M8" s="64"/>
      <c r="N8" s="47" t="s">
        <v>34</v>
      </c>
      <c r="O8" s="20"/>
      <c r="P8" s="20"/>
      <c r="Q8" s="20"/>
      <c r="R8" s="20"/>
      <c r="S8" s="20"/>
      <c r="T8" s="20"/>
    </row>
    <row r="9" spans="1:20" s="21" customFormat="1">
      <c r="A9" s="55" t="s">
        <v>119</v>
      </c>
      <c r="B9" s="1"/>
      <c r="C9" s="1"/>
      <c r="D9" s="1"/>
      <c r="E9" s="1"/>
      <c r="F9" s="61"/>
      <c r="G9" s="56"/>
      <c r="H9" s="3"/>
      <c r="I9" s="3"/>
      <c r="J9" s="56"/>
      <c r="K9" s="3"/>
      <c r="L9" s="61"/>
      <c r="M9" s="61"/>
      <c r="N9" s="3"/>
    </row>
    <row r="10" spans="1:20" s="21" customFormat="1">
      <c r="A10" s="55"/>
      <c r="B10" s="1"/>
      <c r="C10" s="1"/>
      <c r="D10" s="1"/>
      <c r="E10" s="1"/>
      <c r="F10" s="61"/>
      <c r="G10" s="56"/>
      <c r="H10" s="3"/>
      <c r="I10" s="3"/>
      <c r="J10" s="56"/>
      <c r="K10" s="3"/>
      <c r="L10" s="61"/>
      <c r="M10" s="61"/>
      <c r="N10" s="3"/>
    </row>
    <row r="11" spans="1:20" s="198" customFormat="1" ht="12">
      <c r="A11" s="225">
        <v>2686</v>
      </c>
      <c r="B11" s="198" t="s">
        <v>633</v>
      </c>
      <c r="C11" s="226" t="s">
        <v>64</v>
      </c>
      <c r="D11" s="226" t="s">
        <v>587</v>
      </c>
      <c r="E11" s="226" t="s">
        <v>450</v>
      </c>
      <c r="F11" s="227">
        <v>15000000</v>
      </c>
      <c r="G11" s="227">
        <v>15000000</v>
      </c>
      <c r="H11" s="211">
        <v>36182</v>
      </c>
      <c r="I11" s="206">
        <f>H11+35</f>
        <v>36217</v>
      </c>
      <c r="J11" s="205">
        <v>15000000</v>
      </c>
      <c r="K11" s="206">
        <f>H11+120</f>
        <v>36302</v>
      </c>
      <c r="L11" s="205">
        <v>14750000</v>
      </c>
      <c r="M11" s="228">
        <f>J11-L11</f>
        <v>250000</v>
      </c>
      <c r="N11" s="206">
        <v>36312</v>
      </c>
    </row>
    <row r="12" spans="1:20" ht="12">
      <c r="A12" s="142">
        <v>2710</v>
      </c>
      <c r="B12" s="1" t="s">
        <v>633</v>
      </c>
      <c r="C12" s="152" t="s">
        <v>64</v>
      </c>
      <c r="D12" s="152" t="s">
        <v>588</v>
      </c>
      <c r="E12" s="152" t="s">
        <v>450</v>
      </c>
      <c r="F12" s="153">
        <v>12000000</v>
      </c>
      <c r="G12" s="153">
        <v>12000000</v>
      </c>
      <c r="H12" s="154">
        <v>36253</v>
      </c>
      <c r="I12" s="23">
        <f>H12+35</f>
        <v>36288</v>
      </c>
      <c r="J12" s="30">
        <v>12000000</v>
      </c>
      <c r="K12" s="23">
        <f>H12+120</f>
        <v>36373</v>
      </c>
      <c r="L12" s="30">
        <v>10350000</v>
      </c>
      <c r="M12" s="56">
        <f>J12-L12</f>
        <v>1650000</v>
      </c>
      <c r="N12" s="3">
        <v>36377</v>
      </c>
    </row>
    <row r="13" spans="1:20" ht="12">
      <c r="A13" s="142">
        <v>2714</v>
      </c>
      <c r="B13" s="1" t="s">
        <v>621</v>
      </c>
      <c r="C13" s="152" t="s">
        <v>38</v>
      </c>
      <c r="D13" s="152" t="s">
        <v>650</v>
      </c>
      <c r="E13" s="152" t="s">
        <v>353</v>
      </c>
      <c r="F13" s="153">
        <v>8999000</v>
      </c>
      <c r="G13" s="153">
        <v>8999000</v>
      </c>
      <c r="H13" s="154">
        <v>36274</v>
      </c>
      <c r="I13" s="23">
        <f>H13+35</f>
        <v>36309</v>
      </c>
      <c r="J13" s="153">
        <v>8999000</v>
      </c>
      <c r="K13" s="23">
        <f>H13+120</f>
        <v>36394</v>
      </c>
      <c r="L13" s="30"/>
      <c r="M13" s="87">
        <v>8999000</v>
      </c>
      <c r="N13" s="3"/>
    </row>
    <row r="14" spans="1:20" ht="12">
      <c r="A14" s="142"/>
      <c r="B14" s="142"/>
      <c r="C14" s="142"/>
      <c r="D14" s="142"/>
      <c r="E14" s="142"/>
      <c r="F14" s="143"/>
      <c r="G14" s="143"/>
      <c r="H14" s="144"/>
      <c r="I14" s="3"/>
      <c r="J14" s="30"/>
      <c r="K14" s="3"/>
      <c r="L14" s="30"/>
      <c r="M14" s="56"/>
      <c r="N14" s="3"/>
    </row>
    <row r="15" spans="1:20" ht="12">
      <c r="A15" s="55" t="s">
        <v>3</v>
      </c>
      <c r="B15" s="142"/>
      <c r="C15" s="142"/>
      <c r="D15" s="142"/>
      <c r="E15" s="142"/>
      <c r="F15" s="143"/>
      <c r="G15" s="143"/>
      <c r="H15" s="144"/>
      <c r="I15" s="3"/>
      <c r="J15" s="153"/>
      <c r="K15" s="3"/>
      <c r="L15" s="56"/>
      <c r="M15" s="30"/>
      <c r="N15" s="3"/>
    </row>
    <row r="16" spans="1:20" ht="12">
      <c r="A16" s="142"/>
      <c r="B16" s="142"/>
      <c r="C16" s="142"/>
      <c r="D16" s="142"/>
      <c r="E16" s="142"/>
      <c r="F16" s="143"/>
      <c r="G16" s="143"/>
      <c r="H16" s="144"/>
      <c r="I16" s="3"/>
      <c r="K16" s="3"/>
      <c r="L16" s="56"/>
      <c r="M16" s="153"/>
      <c r="N16" s="3"/>
    </row>
    <row r="17" spans="1:14" ht="12">
      <c r="A17" s="142">
        <v>2771</v>
      </c>
      <c r="B17" s="1" t="s">
        <v>627</v>
      </c>
      <c r="C17" s="152" t="s">
        <v>64</v>
      </c>
      <c r="D17" s="152" t="s">
        <v>589</v>
      </c>
      <c r="E17" s="152" t="s">
        <v>590</v>
      </c>
      <c r="F17" s="153">
        <v>7500000</v>
      </c>
      <c r="G17" s="153">
        <v>7500000</v>
      </c>
      <c r="H17" s="154">
        <v>36407</v>
      </c>
      <c r="I17" s="23">
        <f>H17+35</f>
        <v>36442</v>
      </c>
      <c r="J17" s="30">
        <v>7500000</v>
      </c>
      <c r="K17" s="23">
        <f>H17+120</f>
        <v>36527</v>
      </c>
      <c r="L17" s="56">
        <v>0</v>
      </c>
      <c r="M17" s="56">
        <v>7500000</v>
      </c>
      <c r="N17" s="3">
        <v>36532</v>
      </c>
    </row>
    <row r="18" spans="1:14" ht="12">
      <c r="A18" s="142">
        <v>2650</v>
      </c>
      <c r="B18" s="1" t="s">
        <v>621</v>
      </c>
      <c r="C18" s="152" t="s">
        <v>64</v>
      </c>
      <c r="D18" s="152" t="s">
        <v>591</v>
      </c>
      <c r="E18" s="152" t="s">
        <v>592</v>
      </c>
      <c r="F18" s="153">
        <v>6500000</v>
      </c>
      <c r="G18" s="153">
        <v>6500000</v>
      </c>
      <c r="H18" s="154">
        <v>36161</v>
      </c>
      <c r="I18" s="3">
        <f>H18+35</f>
        <v>36196</v>
      </c>
      <c r="J18" s="30">
        <v>6500000</v>
      </c>
      <c r="K18" s="3">
        <f>H18+120</f>
        <v>36281</v>
      </c>
      <c r="L18" s="238"/>
      <c r="M18" s="56">
        <v>6500000</v>
      </c>
    </row>
    <row r="19" spans="1:14" ht="12">
      <c r="A19">
        <v>52</v>
      </c>
      <c r="B19" s="1" t="s">
        <v>621</v>
      </c>
      <c r="C19" t="s">
        <v>38</v>
      </c>
      <c r="D19" t="s">
        <v>593</v>
      </c>
      <c r="E19" t="s">
        <v>353</v>
      </c>
      <c r="F19" s="112">
        <v>15000000</v>
      </c>
      <c r="G19" s="143"/>
      <c r="H19" s="144"/>
      <c r="I19" s="3"/>
      <c r="J19" s="30"/>
      <c r="K19" s="3"/>
      <c r="L19" s="56"/>
      <c r="M19" s="56"/>
      <c r="N19" s="3"/>
    </row>
    <row r="20" spans="1:14" ht="12">
      <c r="A20">
        <v>83</v>
      </c>
      <c r="B20" s="1" t="s">
        <v>621</v>
      </c>
      <c r="C20" t="s">
        <v>38</v>
      </c>
      <c r="D20" t="s">
        <v>594</v>
      </c>
      <c r="E20" t="s">
        <v>353</v>
      </c>
      <c r="F20" s="112">
        <v>10547000</v>
      </c>
      <c r="G20" s="143"/>
      <c r="H20" s="144"/>
      <c r="I20" s="3"/>
      <c r="J20" s="30"/>
      <c r="K20" s="3"/>
      <c r="L20" s="56"/>
      <c r="M20" s="56"/>
      <c r="N20" s="3"/>
    </row>
    <row r="21" spans="1:14" ht="12">
      <c r="A21">
        <v>89</v>
      </c>
      <c r="B21" s="1" t="s">
        <v>621</v>
      </c>
      <c r="C21" t="s">
        <v>250</v>
      </c>
      <c r="D21" t="s">
        <v>595</v>
      </c>
      <c r="E21" t="s">
        <v>353</v>
      </c>
      <c r="F21" s="112">
        <v>15000000</v>
      </c>
      <c r="G21" s="112"/>
      <c r="H21"/>
      <c r="I21" s="3"/>
      <c r="K21" s="3"/>
      <c r="L21" s="56"/>
      <c r="M21" s="56"/>
      <c r="N21" s="3"/>
    </row>
    <row r="22" spans="1:14" ht="12">
      <c r="A22">
        <v>90</v>
      </c>
      <c r="B22" s="1" t="s">
        <v>627</v>
      </c>
      <c r="C22" t="s">
        <v>64</v>
      </c>
      <c r="D22" t="s">
        <v>596</v>
      </c>
      <c r="E22" t="s">
        <v>597</v>
      </c>
      <c r="F22" s="112">
        <v>14000000</v>
      </c>
      <c r="G22" s="112"/>
      <c r="H22"/>
      <c r="I22" s="3"/>
      <c r="K22" s="3"/>
      <c r="L22" s="56"/>
      <c r="M22" s="56"/>
      <c r="N22" s="3"/>
    </row>
    <row r="23" spans="1:14" ht="12">
      <c r="A23" s="142">
        <v>113</v>
      </c>
      <c r="B23" s="1" t="s">
        <v>621</v>
      </c>
      <c r="C23" s="152" t="s">
        <v>64</v>
      </c>
      <c r="D23" s="152" t="s">
        <v>598</v>
      </c>
      <c r="E23" s="152" t="s">
        <v>592</v>
      </c>
      <c r="F23" s="153">
        <v>6500000</v>
      </c>
      <c r="G23" s="153"/>
      <c r="H23" s="154"/>
      <c r="I23" s="23"/>
      <c r="K23" s="23"/>
      <c r="L23" s="56"/>
      <c r="M23" s="153"/>
      <c r="N23" s="3"/>
    </row>
    <row r="24" spans="1:14" ht="12">
      <c r="A24">
        <v>147</v>
      </c>
      <c r="B24" s="1" t="s">
        <v>621</v>
      </c>
      <c r="C24" t="s">
        <v>250</v>
      </c>
      <c r="D24" t="s">
        <v>599</v>
      </c>
      <c r="E24" t="s">
        <v>353</v>
      </c>
      <c r="F24" s="112">
        <v>15000000</v>
      </c>
      <c r="G24" s="112"/>
      <c r="H24"/>
      <c r="I24" s="12"/>
      <c r="L24" s="56"/>
    </row>
    <row r="25" spans="1:14" ht="12">
      <c r="A25">
        <v>158</v>
      </c>
      <c r="B25" s="1" t="s">
        <v>627</v>
      </c>
      <c r="C25" t="s">
        <v>38</v>
      </c>
      <c r="D25" t="s">
        <v>600</v>
      </c>
      <c r="E25" t="s">
        <v>353</v>
      </c>
      <c r="F25" s="112">
        <v>15000000</v>
      </c>
      <c r="G25" s="112"/>
      <c r="H25"/>
      <c r="I25" s="12"/>
      <c r="L25" s="56"/>
    </row>
    <row r="26" spans="1:14" ht="12">
      <c r="A26" s="142">
        <v>2788</v>
      </c>
      <c r="B26" s="1" t="s">
        <v>621</v>
      </c>
      <c r="C26" s="152" t="s">
        <v>38</v>
      </c>
      <c r="D26" s="152" t="s">
        <v>601</v>
      </c>
      <c r="E26" s="152" t="s">
        <v>353</v>
      </c>
      <c r="F26" s="153">
        <v>15000000</v>
      </c>
      <c r="G26" s="153">
        <v>15000000</v>
      </c>
      <c r="H26" s="154">
        <v>36455</v>
      </c>
      <c r="I26" s="3">
        <f>H26+35</f>
        <v>36490</v>
      </c>
      <c r="J26" s="30">
        <v>15000000</v>
      </c>
      <c r="K26" s="3">
        <f>H26+120</f>
        <v>36575</v>
      </c>
      <c r="L26" s="56">
        <v>0</v>
      </c>
      <c r="M26" s="61">
        <v>15000000</v>
      </c>
      <c r="N26" s="3">
        <v>36572</v>
      </c>
    </row>
    <row r="27" spans="1:14" ht="12">
      <c r="A27" s="142">
        <v>2789</v>
      </c>
      <c r="B27" s="1" t="s">
        <v>627</v>
      </c>
      <c r="C27" s="152" t="s">
        <v>250</v>
      </c>
      <c r="D27" s="152" t="s">
        <v>602</v>
      </c>
      <c r="E27" s="152" t="s">
        <v>603</v>
      </c>
      <c r="F27" s="153">
        <v>15000000</v>
      </c>
      <c r="G27" s="153">
        <v>15000000</v>
      </c>
      <c r="H27" s="154">
        <v>36463</v>
      </c>
      <c r="I27" s="3">
        <f>H27+35</f>
        <v>36498</v>
      </c>
      <c r="J27" s="30">
        <v>15000000</v>
      </c>
      <c r="K27" s="3">
        <f>H27+120</f>
        <v>36583</v>
      </c>
      <c r="L27" s="56">
        <v>0</v>
      </c>
      <c r="M27" s="56">
        <v>15000000</v>
      </c>
      <c r="N27" s="3">
        <v>36595</v>
      </c>
    </row>
    <row r="28" spans="1:14" ht="12">
      <c r="A28"/>
      <c r="B28"/>
      <c r="C28"/>
      <c r="D28"/>
      <c r="E28"/>
      <c r="F28" s="112"/>
      <c r="G28" s="112"/>
      <c r="H28"/>
      <c r="I28" s="3"/>
      <c r="K28" s="3"/>
      <c r="L28" s="56"/>
      <c r="M28" s="56"/>
      <c r="N28" s="3"/>
    </row>
    <row r="29" spans="1:14" ht="12">
      <c r="A29" s="55" t="s">
        <v>620</v>
      </c>
      <c r="B29" s="142"/>
      <c r="C29" s="142"/>
      <c r="D29" s="142"/>
      <c r="E29" s="142"/>
      <c r="F29" s="143"/>
      <c r="G29" s="143"/>
      <c r="H29" s="144"/>
      <c r="I29" s="3"/>
      <c r="J29" s="153"/>
      <c r="K29" s="3"/>
      <c r="L29" s="56"/>
      <c r="M29" s="30"/>
      <c r="N29" s="3"/>
    </row>
    <row r="30" spans="1:14" ht="12">
      <c r="A30"/>
      <c r="B30"/>
      <c r="C30"/>
      <c r="D30"/>
      <c r="E30"/>
      <c r="F30" s="112"/>
      <c r="G30" s="112"/>
      <c r="H30"/>
      <c r="I30" s="3"/>
      <c r="K30" s="3"/>
      <c r="L30" s="56"/>
      <c r="M30" s="56"/>
      <c r="N30" s="3"/>
    </row>
    <row r="31" spans="1:14" ht="12">
      <c r="A31" s="142">
        <v>2786</v>
      </c>
      <c r="B31" s="1" t="s">
        <v>727</v>
      </c>
      <c r="C31" s="152" t="s">
        <v>250</v>
      </c>
      <c r="D31" s="152" t="s">
        <v>604</v>
      </c>
      <c r="E31" s="152" t="s">
        <v>605</v>
      </c>
      <c r="F31" s="153">
        <v>15000000</v>
      </c>
      <c r="G31" s="153">
        <v>15000000</v>
      </c>
      <c r="H31" s="154">
        <v>36455</v>
      </c>
      <c r="I31" s="3">
        <f>H31+35</f>
        <v>36490</v>
      </c>
      <c r="J31" s="30">
        <v>15000000</v>
      </c>
      <c r="K31" s="3">
        <f>H31+120</f>
        <v>36575</v>
      </c>
      <c r="L31" s="56">
        <v>0</v>
      </c>
      <c r="M31" s="56">
        <v>15000000</v>
      </c>
      <c r="N31" s="3">
        <v>36572</v>
      </c>
    </row>
    <row r="32" spans="1:14" ht="12">
      <c r="A32"/>
      <c r="B32"/>
      <c r="C32"/>
      <c r="D32"/>
      <c r="E32"/>
      <c r="F32" s="112"/>
      <c r="G32" s="112"/>
      <c r="H32"/>
      <c r="L32" s="56"/>
      <c r="M32" s="56"/>
    </row>
    <row r="33" spans="1:20" ht="12">
      <c r="A33" s="142"/>
      <c r="B33" s="142"/>
      <c r="C33" s="142"/>
      <c r="D33" s="142"/>
      <c r="E33" s="142"/>
      <c r="F33" s="143"/>
      <c r="G33" s="143"/>
      <c r="H33" s="144"/>
      <c r="I33" s="3"/>
      <c r="K33" s="3"/>
      <c r="L33" s="56"/>
      <c r="M33" s="30"/>
    </row>
    <row r="34" spans="1:20" s="26" customFormat="1">
      <c r="A34" s="1"/>
      <c r="B34" s="1"/>
      <c r="C34" s="12" t="s">
        <v>103</v>
      </c>
      <c r="D34" s="12"/>
      <c r="E34" s="12"/>
      <c r="F34" s="56">
        <f>SUM(F9:F33)</f>
        <v>186046000</v>
      </c>
      <c r="G34" s="76">
        <f>SUM(G9:G33)</f>
        <v>94999000</v>
      </c>
      <c r="H34" s="3"/>
      <c r="I34" s="3"/>
      <c r="J34" s="76">
        <f>SUM(J9:J33)</f>
        <v>94999000</v>
      </c>
      <c r="K34" s="3"/>
      <c r="L34" s="56">
        <f>SUM(L9:L33)</f>
        <v>25100000</v>
      </c>
      <c r="M34" s="56">
        <f>SUM(M9:M33)</f>
        <v>69899000</v>
      </c>
      <c r="N34" s="4"/>
    </row>
    <row r="35" spans="1:20">
      <c r="C35" s="12"/>
      <c r="D35" s="12"/>
      <c r="E35" s="12"/>
      <c r="G35" s="76"/>
      <c r="H35" s="3"/>
      <c r="I35" s="3"/>
      <c r="J35" s="76"/>
      <c r="K35" s="3"/>
      <c r="N35" s="4"/>
      <c r="O35" s="5"/>
      <c r="P35" s="5"/>
      <c r="Q35" s="5"/>
      <c r="R35" s="5"/>
      <c r="S35" s="5"/>
      <c r="T35" s="5"/>
    </row>
    <row r="36" spans="1:20">
      <c r="A36" s="12"/>
      <c r="B36" s="12"/>
      <c r="C36" s="12" t="s">
        <v>264</v>
      </c>
      <c r="D36" s="12"/>
      <c r="E36" s="12"/>
      <c r="F36" s="56">
        <f>SUM(F34-G34)</f>
        <v>91047000</v>
      </c>
      <c r="G36" s="79"/>
      <c r="H36" s="4"/>
      <c r="I36" s="4"/>
      <c r="J36" s="73"/>
      <c r="K36" s="4"/>
      <c r="L36" s="63"/>
      <c r="M36" s="63"/>
      <c r="N36" s="4"/>
      <c r="O36" s="5"/>
      <c r="P36" s="5"/>
      <c r="Q36" s="5"/>
      <c r="R36" s="5"/>
      <c r="S36" s="5"/>
      <c r="T36" s="5"/>
    </row>
    <row r="37" spans="1:20">
      <c r="A37" s="12"/>
      <c r="B37" s="12"/>
      <c r="C37" s="12"/>
      <c r="D37" s="12"/>
      <c r="E37" s="12"/>
      <c r="G37" s="73"/>
      <c r="H37" s="4"/>
      <c r="I37" s="4"/>
      <c r="J37" s="73"/>
      <c r="K37" s="4"/>
      <c r="L37" s="63"/>
      <c r="M37" s="63"/>
      <c r="N37" s="4"/>
      <c r="O37" s="5"/>
      <c r="P37" s="5"/>
      <c r="Q37" s="5"/>
      <c r="R37" s="5"/>
      <c r="S37" s="5"/>
      <c r="T37" s="5"/>
    </row>
    <row r="38" spans="1:20">
      <c r="A38" s="12"/>
      <c r="B38" s="12"/>
      <c r="C38" s="12" t="s">
        <v>37</v>
      </c>
      <c r="D38" s="12"/>
      <c r="E38" s="12"/>
      <c r="F38" s="56">
        <f>+C1-G34+M34</f>
        <v>6120932</v>
      </c>
      <c r="G38" s="73"/>
      <c r="H38" s="4"/>
      <c r="I38" s="4"/>
      <c r="J38" s="73"/>
      <c r="K38" s="4"/>
      <c r="L38" s="63"/>
      <c r="M38" s="63"/>
      <c r="N38" s="4"/>
      <c r="O38" s="5"/>
      <c r="P38" s="5"/>
      <c r="Q38" s="5"/>
      <c r="R38" s="5"/>
      <c r="S38" s="5"/>
      <c r="T38" s="5"/>
    </row>
    <row r="45" spans="1:20">
      <c r="G45" s="87"/>
    </row>
  </sheetData>
  <phoneticPr fontId="0" type="noConversion"/>
  <pageMargins left="0.75" right="0.75" top="1" bottom="1" header="0.5" footer="0.5"/>
  <pageSetup scale="52" fitToHeight="2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workbookViewId="0">
      <selection activeCell="G38" sqref="G38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2.5703125" style="30" bestFit="1" customWidth="1"/>
    <col min="11" max="11" width="10.140625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26909738</v>
      </c>
      <c r="D1" s="7"/>
      <c r="E1" s="7"/>
      <c r="F1" s="62"/>
      <c r="G1" s="68"/>
      <c r="H1" s="9"/>
      <c r="I1" s="9"/>
      <c r="J1" s="36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42</v>
      </c>
      <c r="B2" s="20"/>
      <c r="C2" s="22"/>
      <c r="D2" s="22"/>
      <c r="E2" s="22"/>
      <c r="F2" s="67"/>
      <c r="G2" s="57"/>
      <c r="H2" s="23"/>
      <c r="I2" s="23"/>
      <c r="J2" s="34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57"/>
      <c r="H3" s="23"/>
      <c r="I3" s="23"/>
      <c r="J3" s="34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65" t="s">
        <v>151</v>
      </c>
      <c r="G4" s="77" t="s">
        <v>30</v>
      </c>
      <c r="H4" s="24" t="s">
        <v>74</v>
      </c>
      <c r="I4" s="24" t="s">
        <v>218</v>
      </c>
      <c r="J4" s="33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65" t="s">
        <v>259</v>
      </c>
      <c r="G5" s="77" t="s">
        <v>259</v>
      </c>
      <c r="H5" s="24" t="s">
        <v>34</v>
      </c>
      <c r="I5" s="24" t="s">
        <v>102</v>
      </c>
      <c r="J5" s="33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64"/>
      <c r="G6" s="70"/>
      <c r="H6" s="18"/>
      <c r="I6" s="18"/>
      <c r="J6" s="32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119</v>
      </c>
      <c r="B7" s="1"/>
      <c r="C7" s="1"/>
      <c r="D7" s="1"/>
      <c r="E7" s="1"/>
      <c r="F7" s="61"/>
      <c r="G7" s="56"/>
      <c r="H7" s="3"/>
      <c r="I7" s="3"/>
      <c r="J7" s="30"/>
      <c r="K7" s="3"/>
      <c r="L7" s="61"/>
      <c r="M7" s="61"/>
      <c r="N7" s="3"/>
    </row>
    <row r="8" spans="1:20" s="21" customFormat="1" ht="12">
      <c r="A8" s="142"/>
      <c r="B8" s="142"/>
      <c r="C8" s="142"/>
      <c r="D8" s="142"/>
      <c r="E8" s="142"/>
      <c r="F8" s="143"/>
      <c r="G8" s="143"/>
      <c r="H8" s="144"/>
      <c r="I8" s="3"/>
      <c r="J8" s="30"/>
      <c r="K8" s="167"/>
      <c r="L8" s="61"/>
      <c r="M8" s="61"/>
      <c r="N8" s="3"/>
    </row>
    <row r="9" spans="1:20" ht="12">
      <c r="A9" s="142">
        <v>2664</v>
      </c>
      <c r="B9" s="1" t="s">
        <v>633</v>
      </c>
      <c r="C9" s="152" t="s">
        <v>230</v>
      </c>
      <c r="D9" s="152" t="s">
        <v>606</v>
      </c>
      <c r="E9" s="152" t="s">
        <v>607</v>
      </c>
      <c r="F9" s="153">
        <v>7600000</v>
      </c>
      <c r="G9" s="153">
        <v>7600000</v>
      </c>
      <c r="H9" s="154">
        <v>36168</v>
      </c>
      <c r="I9" s="167">
        <f>H9+35</f>
        <v>36203</v>
      </c>
      <c r="J9" s="30">
        <v>7600000</v>
      </c>
      <c r="K9" s="167">
        <f>H9+120</f>
        <v>36288</v>
      </c>
      <c r="L9" s="56">
        <v>7600000</v>
      </c>
      <c r="M9" s="56">
        <v>0</v>
      </c>
      <c r="N9" s="3">
        <v>36288</v>
      </c>
    </row>
    <row r="10" spans="1:20" ht="12">
      <c r="A10" s="142"/>
      <c r="B10" s="142"/>
      <c r="C10" s="142"/>
      <c r="D10" s="142"/>
      <c r="E10" s="142"/>
      <c r="F10" s="143"/>
      <c r="G10" s="143"/>
      <c r="H10" s="144"/>
      <c r="I10" s="158"/>
      <c r="K10" s="158"/>
      <c r="L10" s="56"/>
      <c r="M10" s="56"/>
    </row>
    <row r="11" spans="1:20" ht="12">
      <c r="A11" s="55" t="s">
        <v>3</v>
      </c>
      <c r="B11"/>
      <c r="C11"/>
      <c r="D11"/>
      <c r="E11"/>
      <c r="F11" s="112"/>
      <c r="G11" s="112"/>
      <c r="H11" s="125"/>
      <c r="L11" s="56"/>
      <c r="M11" s="56"/>
    </row>
    <row r="12" spans="1:20" ht="12">
      <c r="A12" s="142"/>
      <c r="B12" s="142"/>
      <c r="C12" s="142"/>
      <c r="D12" s="142"/>
      <c r="E12" s="142"/>
      <c r="F12" s="143"/>
      <c r="G12" s="143"/>
      <c r="H12" s="144"/>
      <c r="I12" s="158"/>
      <c r="K12" s="167"/>
      <c r="L12" s="30"/>
      <c r="M12" s="87"/>
      <c r="N12" s="3"/>
    </row>
    <row r="13" spans="1:20" s="198" customFormat="1" ht="12">
      <c r="A13" s="225">
        <v>2687</v>
      </c>
      <c r="B13" s="198" t="s">
        <v>633</v>
      </c>
      <c r="C13" s="226" t="s">
        <v>222</v>
      </c>
      <c r="D13" s="226" t="s">
        <v>608</v>
      </c>
      <c r="E13" s="226" t="s">
        <v>607</v>
      </c>
      <c r="F13" s="227">
        <v>14000000</v>
      </c>
      <c r="G13" s="227">
        <v>14000000</v>
      </c>
      <c r="H13" s="211">
        <v>36183</v>
      </c>
      <c r="I13" s="247">
        <f>H13+35</f>
        <v>36218</v>
      </c>
      <c r="J13" s="205">
        <v>14000000</v>
      </c>
      <c r="K13" s="247">
        <f>H13+120</f>
        <v>36303</v>
      </c>
      <c r="L13" s="205">
        <v>13090000</v>
      </c>
      <c r="M13" s="228">
        <f>J13-L13</f>
        <v>910000</v>
      </c>
      <c r="N13" s="206">
        <v>36298</v>
      </c>
    </row>
    <row r="14" spans="1:20" ht="11.25" customHeight="1">
      <c r="A14">
        <v>80</v>
      </c>
      <c r="B14" s="1" t="s">
        <v>621</v>
      </c>
      <c r="C14" t="s">
        <v>222</v>
      </c>
      <c r="D14" t="s">
        <v>609</v>
      </c>
      <c r="E14" t="s">
        <v>607</v>
      </c>
      <c r="F14" s="112">
        <v>14000000</v>
      </c>
      <c r="G14" s="143"/>
      <c r="H14" s="144"/>
      <c r="I14" s="158"/>
      <c r="K14" s="167"/>
      <c r="L14" s="30"/>
      <c r="M14" s="56"/>
      <c r="N14" s="3"/>
    </row>
    <row r="15" spans="1:20" ht="12">
      <c r="A15" s="142">
        <v>2740</v>
      </c>
      <c r="B15" s="1" t="s">
        <v>621</v>
      </c>
      <c r="C15" s="152" t="s">
        <v>230</v>
      </c>
      <c r="D15" s="152" t="s">
        <v>610</v>
      </c>
      <c r="E15" s="152" t="s">
        <v>607</v>
      </c>
      <c r="F15" s="153">
        <v>15000000</v>
      </c>
      <c r="G15" s="153">
        <v>15000000</v>
      </c>
      <c r="H15" s="154">
        <v>36356</v>
      </c>
      <c r="I15" s="264">
        <f>H15+35</f>
        <v>36391</v>
      </c>
      <c r="J15" s="30">
        <v>15000000</v>
      </c>
      <c r="K15" s="264">
        <f>H15+120</f>
        <v>36476</v>
      </c>
      <c r="L15" s="56"/>
      <c r="M15" s="30">
        <v>15000000</v>
      </c>
    </row>
    <row r="16" spans="1:20" s="12" customFormat="1" ht="12">
      <c r="A16">
        <v>105</v>
      </c>
      <c r="B16" s="1" t="s">
        <v>627</v>
      </c>
      <c r="C16" t="s">
        <v>230</v>
      </c>
      <c r="D16" t="s">
        <v>611</v>
      </c>
      <c r="E16" t="s">
        <v>607</v>
      </c>
      <c r="F16" s="112">
        <v>15000000</v>
      </c>
      <c r="G16" s="131"/>
      <c r="H16" s="141"/>
      <c r="I16" s="159"/>
      <c r="J16" s="31"/>
      <c r="K16" s="159"/>
      <c r="L16" s="69"/>
      <c r="M16" s="69"/>
    </row>
    <row r="17" spans="1:14" ht="12">
      <c r="A17">
        <v>125</v>
      </c>
      <c r="B17" s="1" t="s">
        <v>621</v>
      </c>
      <c r="C17" t="s">
        <v>222</v>
      </c>
      <c r="D17" t="s">
        <v>612</v>
      </c>
      <c r="E17" t="s">
        <v>607</v>
      </c>
      <c r="F17" s="112">
        <v>14000000</v>
      </c>
      <c r="G17" s="143"/>
      <c r="H17" s="144"/>
      <c r="I17" s="158"/>
      <c r="K17" s="167"/>
      <c r="L17" s="56"/>
      <c r="M17" s="30"/>
      <c r="N17" s="3"/>
    </row>
    <row r="18" spans="1:14" ht="12">
      <c r="A18">
        <v>131</v>
      </c>
      <c r="B18" s="1" t="s">
        <v>621</v>
      </c>
      <c r="C18" t="s">
        <v>222</v>
      </c>
      <c r="D18" t="s">
        <v>613</v>
      </c>
      <c r="E18" t="s">
        <v>607</v>
      </c>
      <c r="F18" s="112">
        <v>14400000</v>
      </c>
      <c r="G18" s="143"/>
      <c r="H18" s="144"/>
      <c r="I18" s="158"/>
      <c r="K18" s="167"/>
      <c r="L18" s="56"/>
      <c r="M18" s="153"/>
      <c r="N18" s="3"/>
    </row>
    <row r="19" spans="1:14" s="12" customFormat="1" ht="12">
      <c r="A19">
        <v>137</v>
      </c>
      <c r="B19" s="1" t="s">
        <v>621</v>
      </c>
      <c r="C19" t="s">
        <v>230</v>
      </c>
      <c r="D19" t="s">
        <v>614</v>
      </c>
      <c r="E19" t="s">
        <v>607</v>
      </c>
      <c r="F19" s="112">
        <v>9000000</v>
      </c>
      <c r="G19" s="131"/>
      <c r="H19" s="141"/>
      <c r="I19" s="4"/>
      <c r="J19" s="31"/>
      <c r="K19" s="159"/>
      <c r="L19" s="69"/>
      <c r="M19" s="69"/>
      <c r="N19" s="4"/>
    </row>
    <row r="20" spans="1:14" ht="12">
      <c r="A20">
        <v>171</v>
      </c>
      <c r="B20" s="1" t="s">
        <v>621</v>
      </c>
      <c r="C20" t="s">
        <v>230</v>
      </c>
      <c r="D20" t="s">
        <v>615</v>
      </c>
      <c r="E20" t="s">
        <v>607</v>
      </c>
      <c r="F20" s="112">
        <v>15000000</v>
      </c>
      <c r="G20" s="112"/>
      <c r="H20"/>
      <c r="I20" s="3"/>
      <c r="K20" s="3"/>
      <c r="L20" s="56"/>
      <c r="M20" s="56"/>
      <c r="N20" s="3"/>
    </row>
    <row r="21" spans="1:14" s="12" customFormat="1" ht="12">
      <c r="A21">
        <v>178</v>
      </c>
      <c r="B21" s="1" t="s">
        <v>621</v>
      </c>
      <c r="C21" t="s">
        <v>222</v>
      </c>
      <c r="D21" t="s">
        <v>616</v>
      </c>
      <c r="E21" t="s">
        <v>607</v>
      </c>
      <c r="F21" s="112">
        <v>14000000</v>
      </c>
      <c r="G21" s="131"/>
      <c r="H21" s="141"/>
      <c r="I21" s="4"/>
      <c r="J21" s="31"/>
      <c r="K21" s="159"/>
      <c r="L21" s="69"/>
      <c r="M21" s="69"/>
      <c r="N21" s="4"/>
    </row>
    <row r="22" spans="1:14" ht="12">
      <c r="A22">
        <v>190</v>
      </c>
      <c r="B22" s="1" t="s">
        <v>621</v>
      </c>
      <c r="C22" t="s">
        <v>222</v>
      </c>
      <c r="D22" t="s">
        <v>617</v>
      </c>
      <c r="E22" t="s">
        <v>607</v>
      </c>
      <c r="F22" s="112">
        <v>14000000</v>
      </c>
      <c r="G22" s="112"/>
      <c r="H22"/>
      <c r="I22" s="3"/>
      <c r="K22" s="3"/>
      <c r="L22" s="56"/>
      <c r="M22" s="56"/>
      <c r="N22" s="3"/>
    </row>
    <row r="23" spans="1:14" ht="12">
      <c r="A23">
        <v>218</v>
      </c>
      <c r="B23" s="1" t="s">
        <v>621</v>
      </c>
      <c r="C23" t="s">
        <v>222</v>
      </c>
      <c r="D23" t="s">
        <v>618</v>
      </c>
      <c r="E23" t="s">
        <v>607</v>
      </c>
      <c r="F23" s="112">
        <v>14000000</v>
      </c>
      <c r="G23" s="112"/>
      <c r="H23"/>
      <c r="I23" s="3"/>
      <c r="K23" s="3"/>
      <c r="L23" s="56"/>
      <c r="M23" s="56"/>
      <c r="N23" s="3"/>
    </row>
    <row r="24" spans="1:14" ht="12">
      <c r="A24" s="142">
        <v>2760</v>
      </c>
      <c r="B24" s="1" t="s">
        <v>633</v>
      </c>
      <c r="C24" s="152" t="s">
        <v>230</v>
      </c>
      <c r="D24" s="152" t="s">
        <v>619</v>
      </c>
      <c r="E24" s="152" t="s">
        <v>607</v>
      </c>
      <c r="F24" s="153">
        <v>15000000</v>
      </c>
      <c r="G24" s="153">
        <v>15000000</v>
      </c>
      <c r="H24" s="154">
        <v>36398</v>
      </c>
      <c r="I24" s="264">
        <f>H24+35</f>
        <v>36433</v>
      </c>
      <c r="J24" s="30">
        <v>15000000</v>
      </c>
      <c r="K24" s="264">
        <f>H24+120</f>
        <v>36518</v>
      </c>
      <c r="L24" s="30">
        <v>12760000</v>
      </c>
      <c r="M24" s="61">
        <f>J24-L24</f>
        <v>2240000</v>
      </c>
      <c r="N24" s="3">
        <v>36523</v>
      </c>
    </row>
    <row r="25" spans="1:14" ht="12">
      <c r="A25"/>
      <c r="B25"/>
      <c r="G25" s="112"/>
      <c r="H25"/>
      <c r="I25" s="12"/>
      <c r="L25" s="56"/>
    </row>
    <row r="26" spans="1:14" ht="12">
      <c r="A26"/>
      <c r="B26"/>
      <c r="C26"/>
      <c r="D26"/>
      <c r="E26"/>
      <c r="F26" s="112"/>
      <c r="G26" s="112"/>
      <c r="H26"/>
      <c r="I26" s="12"/>
      <c r="L26" s="56"/>
    </row>
    <row r="27" spans="1:14" ht="12">
      <c r="A27"/>
      <c r="B27"/>
      <c r="C27"/>
      <c r="D27"/>
      <c r="E27"/>
      <c r="F27" s="112"/>
      <c r="G27" s="112"/>
      <c r="H27"/>
      <c r="I27" s="3"/>
      <c r="K27" s="3"/>
      <c r="L27" s="56"/>
      <c r="M27" s="56"/>
      <c r="N27" s="3"/>
    </row>
    <row r="28" spans="1:14" ht="12">
      <c r="A28"/>
      <c r="B28"/>
      <c r="C28"/>
      <c r="D28"/>
      <c r="E28"/>
      <c r="F28" s="112"/>
      <c r="G28" s="112"/>
      <c r="H28"/>
      <c r="I28" s="3"/>
      <c r="K28" s="3"/>
      <c r="L28" s="56"/>
      <c r="M28" s="56"/>
      <c r="N28" s="3"/>
    </row>
    <row r="29" spans="1:14" ht="12">
      <c r="A29"/>
      <c r="B29"/>
      <c r="C29"/>
      <c r="D29"/>
      <c r="E29"/>
      <c r="F29" s="112"/>
      <c r="G29" s="112"/>
      <c r="H29"/>
      <c r="I29" s="3"/>
      <c r="K29" s="3"/>
      <c r="L29" s="56"/>
      <c r="M29" s="56"/>
      <c r="N29" s="3"/>
    </row>
    <row r="30" spans="1:14" s="26" customFormat="1" ht="11.25" thickBot="1">
      <c r="A30" s="21"/>
      <c r="B30" s="21"/>
      <c r="C30" s="21"/>
      <c r="D30" s="21"/>
      <c r="E30" s="21"/>
      <c r="F30" s="66"/>
      <c r="G30" s="75"/>
      <c r="H30" s="3"/>
      <c r="I30" s="3"/>
      <c r="J30" s="148"/>
      <c r="K30" s="3"/>
      <c r="L30" s="66"/>
      <c r="M30" s="83"/>
      <c r="N30" s="4"/>
    </row>
    <row r="31" spans="1:14" s="26" customFormat="1">
      <c r="A31" s="21"/>
      <c r="B31" s="21"/>
      <c r="C31" s="21"/>
      <c r="D31" s="21"/>
      <c r="E31" s="21"/>
      <c r="F31" s="67"/>
      <c r="G31" s="72"/>
      <c r="H31" s="3"/>
      <c r="I31" s="3"/>
      <c r="J31" s="89"/>
      <c r="K31" s="3"/>
      <c r="L31" s="67"/>
      <c r="M31" s="57"/>
      <c r="N31" s="4"/>
    </row>
    <row r="32" spans="1:14" s="26" customFormat="1">
      <c r="A32" s="1"/>
      <c r="B32" s="1"/>
      <c r="C32" s="12" t="s">
        <v>103</v>
      </c>
      <c r="D32" s="12"/>
      <c r="E32" s="12"/>
      <c r="F32" s="56">
        <f>SUM(F7:F29)</f>
        <v>175000000</v>
      </c>
      <c r="G32" s="76">
        <f>SUM(G7:G29)</f>
        <v>51600000</v>
      </c>
      <c r="H32" s="3"/>
      <c r="I32" s="3"/>
      <c r="J32" s="37">
        <f>SUM(J7:J30)</f>
        <v>51600000</v>
      </c>
      <c r="K32" s="3"/>
      <c r="L32" s="56">
        <f>SUM(L7:L30)</f>
        <v>33450000</v>
      </c>
      <c r="M32" s="56">
        <f>SUM(M7:M30)</f>
        <v>18150000</v>
      </c>
      <c r="N32" s="4"/>
    </row>
    <row r="33" spans="1:20">
      <c r="C33" s="12"/>
      <c r="D33" s="12"/>
      <c r="E33" s="12"/>
      <c r="G33" s="76"/>
      <c r="H33" s="3"/>
      <c r="I33" s="3"/>
      <c r="J33" s="37"/>
      <c r="K33" s="3"/>
      <c r="N33" s="4"/>
      <c r="O33" s="5"/>
      <c r="P33" s="5"/>
      <c r="Q33" s="5"/>
      <c r="R33" s="5"/>
      <c r="S33" s="5"/>
      <c r="T33" s="5"/>
    </row>
    <row r="34" spans="1:20">
      <c r="A34" s="12"/>
      <c r="B34" s="12"/>
      <c r="C34" s="12" t="s">
        <v>264</v>
      </c>
      <c r="D34" s="12"/>
      <c r="E34" s="12"/>
      <c r="F34" s="56">
        <f>SUM(F32-G32)</f>
        <v>123400000</v>
      </c>
      <c r="G34" s="79"/>
      <c r="H34" s="4"/>
      <c r="I34" s="4"/>
      <c r="J34" s="139"/>
      <c r="K34" s="4"/>
      <c r="L34" s="63"/>
      <c r="M34" s="63"/>
      <c r="N34" s="4"/>
      <c r="O34" s="5"/>
      <c r="P34" s="5"/>
      <c r="Q34" s="5"/>
      <c r="R34" s="5"/>
      <c r="S34" s="5"/>
      <c r="T34" s="5"/>
    </row>
    <row r="35" spans="1:20">
      <c r="A35" s="12"/>
      <c r="B35" s="12"/>
      <c r="C35" s="12"/>
      <c r="D35" s="12"/>
      <c r="E35" s="12"/>
      <c r="G35" s="73"/>
      <c r="H35" s="4"/>
      <c r="I35" s="4"/>
      <c r="J35" s="139"/>
      <c r="K35" s="4"/>
      <c r="L35" s="63"/>
      <c r="M35" s="63"/>
      <c r="N35" s="4"/>
      <c r="O35" s="5"/>
      <c r="P35" s="5"/>
      <c r="Q35" s="5"/>
      <c r="R35" s="5"/>
      <c r="S35" s="5"/>
      <c r="T35" s="5"/>
    </row>
    <row r="36" spans="1:20">
      <c r="A36" s="12"/>
      <c r="B36" s="12"/>
      <c r="C36" s="12" t="s">
        <v>37</v>
      </c>
      <c r="D36" s="12"/>
      <c r="E36" s="12"/>
      <c r="F36" s="56">
        <f>+C1-G32+M32</f>
        <v>-6540262</v>
      </c>
      <c r="G36" s="73"/>
      <c r="H36" s="4"/>
      <c r="I36" s="4"/>
      <c r="J36" s="139"/>
      <c r="K36" s="4"/>
      <c r="L36" s="63"/>
      <c r="M36" s="63"/>
      <c r="N36" s="4"/>
      <c r="O36" s="5"/>
      <c r="P36" s="5"/>
      <c r="Q36" s="5"/>
      <c r="R36" s="5"/>
      <c r="S36" s="5"/>
      <c r="T36" s="5"/>
    </row>
    <row r="38" spans="1:20">
      <c r="G38" s="56">
        <f>333.34*3/2</f>
        <v>500.01</v>
      </c>
    </row>
  </sheetData>
  <phoneticPr fontId="0" type="noConversion"/>
  <pageMargins left="0.75" right="0.75" top="1" bottom="1" header="0.5" footer="0.5"/>
  <pageSetup scale="53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9.140625" style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25585385</v>
      </c>
      <c r="D1" s="7"/>
      <c r="E1" s="7"/>
      <c r="F1" s="62"/>
      <c r="G1" s="68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261</v>
      </c>
      <c r="B2" s="20"/>
      <c r="C2" s="22"/>
      <c r="D2" s="22"/>
      <c r="E2" s="22"/>
      <c r="F2" s="67"/>
      <c r="G2" s="57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57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65" t="s">
        <v>151</v>
      </c>
      <c r="G4" s="77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65" t="s">
        <v>259</v>
      </c>
      <c r="G5" s="77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64"/>
      <c r="G6" s="70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119</v>
      </c>
      <c r="B7" s="1"/>
      <c r="C7" s="1"/>
      <c r="D7" s="1"/>
      <c r="E7" s="1"/>
      <c r="F7" s="61"/>
      <c r="G7" s="56"/>
      <c r="H7" s="3"/>
      <c r="I7" s="3"/>
      <c r="J7" s="56"/>
      <c r="K7" s="3"/>
      <c r="L7" s="61"/>
      <c r="M7" s="61"/>
      <c r="N7" s="3"/>
    </row>
    <row r="8" spans="1:20">
      <c r="B8" s="21" t="s">
        <v>305</v>
      </c>
    </row>
    <row r="9" spans="1:20" s="21" customFormat="1" ht="12">
      <c r="A9" s="142"/>
      <c r="B9" s="142"/>
      <c r="C9" s="142"/>
      <c r="D9" s="142"/>
      <c r="E9" s="142"/>
      <c r="F9" s="143"/>
      <c r="G9" s="143"/>
      <c r="H9" s="144"/>
      <c r="I9" s="3"/>
      <c r="J9" s="56"/>
      <c r="K9" s="3"/>
      <c r="L9" s="61"/>
      <c r="M9" s="143"/>
      <c r="N9" s="3"/>
    </row>
    <row r="10" spans="1:20" s="20" customFormat="1" ht="12">
      <c r="A10" s="130"/>
      <c r="B10" s="130"/>
      <c r="C10" s="130"/>
      <c r="D10" s="130"/>
      <c r="E10" s="130"/>
      <c r="F10" s="131"/>
      <c r="G10" s="131"/>
      <c r="H10" s="141"/>
      <c r="I10" s="4"/>
      <c r="J10" s="69"/>
      <c r="K10" s="4"/>
      <c r="L10" s="63"/>
      <c r="M10" s="63"/>
      <c r="N10" s="4"/>
    </row>
    <row r="11" spans="1:20" s="20" customFormat="1" ht="12">
      <c r="A11" s="130"/>
      <c r="B11" s="130"/>
      <c r="C11" s="130"/>
      <c r="D11" s="130"/>
      <c r="E11" s="130"/>
      <c r="F11" s="131"/>
      <c r="G11" s="131"/>
      <c r="H11" s="141"/>
      <c r="I11" s="4"/>
      <c r="J11" s="69"/>
      <c r="K11" s="4"/>
      <c r="L11" s="63"/>
      <c r="M11" s="63"/>
      <c r="N11" s="4"/>
    </row>
    <row r="12" spans="1:20" ht="12">
      <c r="A12" s="142"/>
      <c r="B12" s="142"/>
      <c r="C12" s="142"/>
      <c r="D12" s="142"/>
      <c r="E12" s="142"/>
      <c r="F12" s="143"/>
      <c r="G12" s="143"/>
      <c r="H12" s="144"/>
      <c r="I12" s="3"/>
      <c r="K12" s="3"/>
      <c r="L12" s="56"/>
      <c r="M12" s="143"/>
      <c r="N12" s="3"/>
    </row>
    <row r="13" spans="1:20" ht="12">
      <c r="A13"/>
      <c r="B13"/>
      <c r="C13"/>
      <c r="D13"/>
      <c r="E13"/>
      <c r="F13" s="112"/>
      <c r="G13" s="112"/>
      <c r="H13"/>
      <c r="L13" s="56"/>
      <c r="M13" s="56"/>
      <c r="N13" s="3"/>
    </row>
    <row r="14" spans="1:20" ht="12">
      <c r="A14" s="142"/>
      <c r="B14" s="142"/>
      <c r="C14" s="142"/>
      <c r="D14" s="142"/>
      <c r="E14" s="142"/>
      <c r="F14" s="143"/>
      <c r="G14" s="143"/>
      <c r="H14" s="144"/>
      <c r="I14" s="3"/>
      <c r="K14" s="3"/>
      <c r="L14" s="56"/>
      <c r="M14" s="56"/>
      <c r="N14" s="3"/>
    </row>
    <row r="15" spans="1:20" ht="12">
      <c r="A15"/>
      <c r="B15"/>
      <c r="C15"/>
      <c r="D15"/>
      <c r="E15"/>
      <c r="F15" s="112"/>
      <c r="G15" s="112"/>
      <c r="H15"/>
      <c r="I15" s="3"/>
      <c r="K15" s="3"/>
      <c r="L15" s="56"/>
      <c r="M15" s="56"/>
      <c r="N15" s="3"/>
    </row>
    <row r="16" spans="1:20" s="26" customFormat="1" ht="11.25" thickBot="1">
      <c r="A16" s="21"/>
      <c r="B16" s="21"/>
      <c r="C16" s="21"/>
      <c r="D16" s="21"/>
      <c r="E16" s="21"/>
      <c r="F16" s="66"/>
      <c r="G16" s="75"/>
      <c r="H16" s="3"/>
      <c r="I16" s="3"/>
      <c r="J16" s="75"/>
      <c r="K16" s="3"/>
      <c r="L16" s="66"/>
      <c r="M16" s="83"/>
      <c r="N16" s="4"/>
    </row>
    <row r="17" spans="1:20" s="26" customFormat="1">
      <c r="A17" s="21"/>
      <c r="B17" s="21"/>
      <c r="C17" s="21"/>
      <c r="D17" s="21"/>
      <c r="E17" s="21"/>
      <c r="F17" s="67"/>
      <c r="G17" s="72"/>
      <c r="H17" s="3"/>
      <c r="I17" s="3"/>
      <c r="J17" s="72"/>
      <c r="K17" s="3"/>
      <c r="L17" s="67"/>
      <c r="M17" s="57"/>
      <c r="N17" s="4"/>
    </row>
    <row r="18" spans="1:20" s="26" customFormat="1">
      <c r="A18" s="1"/>
      <c r="B18" s="1"/>
      <c r="C18" s="12" t="s">
        <v>103</v>
      </c>
      <c r="D18" s="12"/>
      <c r="E18" s="12"/>
      <c r="F18" s="56">
        <f>SUM(F7:F15)</f>
        <v>0</v>
      </c>
      <c r="G18" s="76">
        <f>SUM(G7:G15)</f>
        <v>0</v>
      </c>
      <c r="H18" s="3"/>
      <c r="I18" s="3"/>
      <c r="J18" s="76">
        <f>SUM(J7:J16)</f>
        <v>0</v>
      </c>
      <c r="K18" s="3"/>
      <c r="L18" s="56">
        <f>SUM(L7:L16)</f>
        <v>0</v>
      </c>
      <c r="M18" s="56">
        <f>SUM(M7:M16)</f>
        <v>0</v>
      </c>
      <c r="N18" s="4"/>
    </row>
    <row r="19" spans="1:20">
      <c r="C19" s="12"/>
      <c r="D19" s="12"/>
      <c r="E19" s="12"/>
      <c r="G19" s="76"/>
      <c r="H19" s="3"/>
      <c r="I19" s="3"/>
      <c r="J19" s="76"/>
      <c r="K19" s="3"/>
      <c r="N19" s="4"/>
      <c r="O19" s="5"/>
      <c r="P19" s="5"/>
      <c r="Q19" s="5"/>
      <c r="R19" s="5"/>
      <c r="S19" s="5"/>
      <c r="T19" s="5"/>
    </row>
    <row r="20" spans="1:20">
      <c r="A20" s="12"/>
      <c r="B20" s="12"/>
      <c r="C20" s="12" t="s">
        <v>264</v>
      </c>
      <c r="D20" s="12"/>
      <c r="E20" s="12"/>
      <c r="F20" s="56">
        <f>SUM(F18-G18)</f>
        <v>0</v>
      </c>
      <c r="G20" s="79"/>
      <c r="H20" s="4"/>
      <c r="I20" s="4"/>
      <c r="J20" s="73"/>
      <c r="K20" s="4"/>
      <c r="L20" s="63"/>
      <c r="M20" s="63"/>
      <c r="N20" s="4"/>
      <c r="O20" s="5"/>
      <c r="P20" s="5"/>
      <c r="Q20" s="5"/>
      <c r="R20" s="5"/>
      <c r="S20" s="5"/>
      <c r="T20" s="5"/>
    </row>
    <row r="21" spans="1:20">
      <c r="A21" s="12"/>
      <c r="B21" s="12"/>
      <c r="C21" s="12"/>
      <c r="D21" s="12"/>
      <c r="E21" s="12"/>
      <c r="G21" s="73"/>
      <c r="H21" s="4"/>
      <c r="I21" s="4"/>
      <c r="J21" s="73"/>
      <c r="K21" s="4"/>
      <c r="L21" s="63"/>
      <c r="M21" s="63"/>
      <c r="N21" s="4"/>
      <c r="O21" s="5"/>
      <c r="P21" s="5"/>
      <c r="Q21" s="5"/>
      <c r="R21" s="5"/>
      <c r="S21" s="5"/>
      <c r="T21" s="5"/>
    </row>
    <row r="22" spans="1:20">
      <c r="A22" s="12"/>
      <c r="B22" s="12"/>
      <c r="C22" s="12" t="s">
        <v>37</v>
      </c>
      <c r="D22" s="12"/>
      <c r="E22" s="12"/>
      <c r="F22" s="56">
        <f>+C1-G18+M18</f>
        <v>25585385</v>
      </c>
      <c r="G22" s="73"/>
      <c r="H22" s="4"/>
      <c r="I22" s="4"/>
      <c r="J22" s="73"/>
      <c r="K22" s="4"/>
      <c r="L22" s="63"/>
      <c r="M22" s="63"/>
      <c r="N22" s="4"/>
      <c r="O22" s="5"/>
      <c r="P22" s="5"/>
      <c r="Q22" s="5"/>
      <c r="R22" s="5"/>
      <c r="S22" s="5"/>
      <c r="T22" s="5"/>
    </row>
  </sheetData>
  <phoneticPr fontId="0" type="noConversion"/>
  <pageMargins left="0.75" right="0.75" top="1" bottom="1" header="0.5" footer="0.5"/>
  <pageSetup scale="7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workbookViewId="0">
      <selection activeCell="G9" sqref="G9"/>
    </sheetView>
  </sheetViews>
  <sheetFormatPr defaultColWidth="10.85546875" defaultRowHeight="10.5"/>
  <cols>
    <col min="1" max="1" width="8.28515625" style="1" customWidth="1"/>
    <col min="2" max="2" width="11.140625" style="1" bestFit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10.140625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7100790</v>
      </c>
      <c r="D1" s="7"/>
      <c r="E1" s="7"/>
      <c r="F1" s="62"/>
      <c r="G1" s="68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161</v>
      </c>
      <c r="B2" s="20"/>
      <c r="C2" s="22"/>
      <c r="D2" s="22"/>
      <c r="E2" s="22"/>
      <c r="F2" s="67"/>
      <c r="G2" s="57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57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65" t="s">
        <v>151</v>
      </c>
      <c r="G4" s="77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65" t="s">
        <v>259</v>
      </c>
      <c r="G5" s="77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64"/>
      <c r="G6" s="70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620</v>
      </c>
      <c r="B7" s="1"/>
      <c r="C7" s="1"/>
      <c r="D7" s="1"/>
      <c r="E7" s="1"/>
      <c r="F7" s="61"/>
      <c r="G7" s="56"/>
      <c r="H7" s="3"/>
      <c r="I7" s="3"/>
      <c r="J7" s="56"/>
      <c r="K7" s="3"/>
      <c r="L7" s="61"/>
      <c r="M7" s="61"/>
      <c r="N7" s="3"/>
    </row>
    <row r="8" spans="1:20" s="21" customFormat="1">
      <c r="A8" s="55"/>
      <c r="B8" s="1"/>
      <c r="C8" s="1"/>
      <c r="D8" s="1"/>
      <c r="E8" s="1"/>
      <c r="F8" s="61"/>
      <c r="G8" s="56"/>
      <c r="H8" s="3"/>
      <c r="I8" s="3"/>
      <c r="J8" s="56"/>
      <c r="K8" s="3"/>
      <c r="L8" s="61"/>
      <c r="M8" s="61"/>
      <c r="N8" s="3"/>
    </row>
    <row r="9" spans="1:20" s="21" customFormat="1">
      <c r="A9" s="267">
        <v>2723</v>
      </c>
      <c r="B9" s="21" t="s">
        <v>621</v>
      </c>
      <c r="C9" s="1" t="s">
        <v>675</v>
      </c>
      <c r="D9" s="1" t="s">
        <v>673</v>
      </c>
      <c r="E9" s="1" t="s">
        <v>674</v>
      </c>
      <c r="F9" s="61">
        <v>7100790</v>
      </c>
      <c r="G9" s="56">
        <v>7100790</v>
      </c>
      <c r="H9" s="3">
        <v>36309</v>
      </c>
      <c r="I9" s="3">
        <f>H9+35</f>
        <v>36344</v>
      </c>
      <c r="J9" s="56">
        <v>7100790</v>
      </c>
      <c r="K9" s="3">
        <f>H9+120</f>
        <v>36429</v>
      </c>
      <c r="L9" s="61"/>
      <c r="M9" s="61">
        <v>7100790</v>
      </c>
      <c r="N9" s="3">
        <v>36420</v>
      </c>
    </row>
    <row r="10" spans="1:20">
      <c r="A10" s="21"/>
      <c r="F10" s="56"/>
      <c r="H10" s="3"/>
      <c r="I10" s="3"/>
      <c r="K10" s="3"/>
      <c r="L10" s="56"/>
      <c r="M10" s="56"/>
      <c r="N10" s="3"/>
    </row>
    <row r="11" spans="1:20" ht="12">
      <c r="A11" s="21"/>
      <c r="B11" s="12"/>
      <c r="C11" s="50"/>
      <c r="D11" s="50"/>
      <c r="E11" s="50"/>
      <c r="F11" s="56"/>
      <c r="H11" s="3"/>
      <c r="L11" s="56"/>
      <c r="M11" s="56"/>
    </row>
    <row r="12" spans="1:20" ht="12">
      <c r="A12" s="21"/>
      <c r="B12" s="12"/>
      <c r="C12" s="50"/>
      <c r="D12" s="50"/>
      <c r="E12" s="50"/>
      <c r="F12" s="56"/>
      <c r="H12" s="3"/>
      <c r="L12" s="56"/>
      <c r="M12" s="56"/>
    </row>
    <row r="13" spans="1:20" ht="12">
      <c r="A13" s="21"/>
      <c r="B13" s="12"/>
      <c r="C13" s="50"/>
      <c r="D13" s="50"/>
      <c r="E13" s="50"/>
      <c r="F13" s="56"/>
      <c r="H13" s="3"/>
      <c r="L13" s="56"/>
      <c r="M13" s="56"/>
    </row>
    <row r="14" spans="1:20" s="26" customFormat="1" ht="11.25" thickBot="1">
      <c r="A14" s="21"/>
      <c r="B14" s="21"/>
      <c r="C14" s="21"/>
      <c r="D14" s="21"/>
      <c r="E14" s="21"/>
      <c r="F14" s="66"/>
      <c r="G14" s="75"/>
      <c r="H14" s="3"/>
      <c r="I14" s="3"/>
      <c r="J14" s="75"/>
      <c r="K14" s="3"/>
      <c r="L14" s="66"/>
      <c r="M14" s="83"/>
      <c r="N14" s="4"/>
    </row>
    <row r="15" spans="1:20" s="26" customFormat="1">
      <c r="A15" s="21"/>
      <c r="B15" s="21"/>
      <c r="C15" s="21"/>
      <c r="D15" s="21"/>
      <c r="E15" s="21"/>
      <c r="F15" s="67"/>
      <c r="G15" s="72"/>
      <c r="H15" s="3"/>
      <c r="I15" s="3"/>
      <c r="J15" s="72"/>
      <c r="K15" s="3"/>
      <c r="L15" s="67"/>
      <c r="M15" s="57"/>
      <c r="N15" s="4"/>
    </row>
    <row r="16" spans="1:20" s="26" customFormat="1">
      <c r="A16" s="1"/>
      <c r="B16" s="1"/>
      <c r="D16" s="12"/>
      <c r="E16" s="12" t="s">
        <v>103</v>
      </c>
      <c r="F16" s="56">
        <f>SUM(F7:F13)</f>
        <v>7100790</v>
      </c>
      <c r="G16" s="76">
        <f>SUM(G7:G13)</f>
        <v>7100790</v>
      </c>
      <c r="H16" s="3"/>
      <c r="I16" s="3"/>
      <c r="J16" s="76">
        <f>SUM(J7:J14)</f>
        <v>7100790</v>
      </c>
      <c r="K16" s="3"/>
      <c r="L16" s="56">
        <f>SUM(L7:L14)</f>
        <v>0</v>
      </c>
      <c r="M16" s="56">
        <f>SUM(M7:M14)</f>
        <v>7100790</v>
      </c>
      <c r="N16" s="4"/>
    </row>
    <row r="17" spans="1:20">
      <c r="D17" s="12"/>
      <c r="E17" s="12"/>
      <c r="G17" s="76"/>
      <c r="H17" s="3"/>
      <c r="I17" s="3"/>
      <c r="J17" s="76"/>
      <c r="K17" s="3"/>
      <c r="N17" s="4"/>
      <c r="O17" s="5"/>
      <c r="P17" s="5"/>
      <c r="Q17" s="5"/>
      <c r="R17" s="5"/>
      <c r="S17" s="5"/>
      <c r="T17" s="5"/>
    </row>
    <row r="18" spans="1:20">
      <c r="A18" s="12"/>
      <c r="B18" s="12"/>
      <c r="D18" s="12"/>
      <c r="E18" s="12" t="s">
        <v>264</v>
      </c>
      <c r="F18" s="56">
        <f>SUM(F16-G16)</f>
        <v>0</v>
      </c>
      <c r="G18" s="79"/>
      <c r="H18" s="4"/>
      <c r="I18" s="4"/>
      <c r="J18" s="73"/>
      <c r="K18" s="4"/>
      <c r="L18" s="63"/>
      <c r="M18" s="63"/>
      <c r="N18" s="4"/>
      <c r="O18" s="5"/>
      <c r="P18" s="5"/>
      <c r="Q18" s="5"/>
      <c r="R18" s="5"/>
      <c r="S18" s="5"/>
      <c r="T18" s="5"/>
    </row>
    <row r="19" spans="1:20">
      <c r="A19" s="12"/>
      <c r="B19" s="12"/>
      <c r="D19" s="12"/>
      <c r="E19" s="12"/>
      <c r="G19" s="73"/>
      <c r="H19" s="4"/>
      <c r="I19" s="4"/>
      <c r="J19" s="73"/>
      <c r="K19" s="4"/>
      <c r="L19" s="63"/>
      <c r="M19" s="63"/>
      <c r="N19" s="4"/>
      <c r="O19" s="5"/>
      <c r="P19" s="5"/>
      <c r="Q19" s="5"/>
      <c r="R19" s="5"/>
      <c r="S19" s="5"/>
      <c r="T19" s="5"/>
    </row>
    <row r="20" spans="1:20">
      <c r="A20" s="12"/>
      <c r="B20" s="12"/>
      <c r="D20" s="12"/>
      <c r="E20" s="12" t="s">
        <v>37</v>
      </c>
      <c r="F20" s="56">
        <f>+C1-G16+M16</f>
        <v>7100790</v>
      </c>
      <c r="G20" s="73"/>
      <c r="H20" s="4"/>
      <c r="I20" s="4"/>
      <c r="J20" s="73"/>
      <c r="K20" s="4"/>
      <c r="L20" s="63"/>
      <c r="M20" s="63"/>
      <c r="N20" s="4"/>
      <c r="O20" s="5"/>
      <c r="P20" s="5"/>
      <c r="Q20" s="5"/>
      <c r="R20" s="5"/>
      <c r="S20" s="5"/>
      <c r="T20" s="5"/>
    </row>
  </sheetData>
  <phoneticPr fontId="0" type="noConversion"/>
  <pageMargins left="0.75" right="0.75" top="1" bottom="1" header="0.5" footer="0.5"/>
  <pageSetup scale="7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>
      <selection activeCell="F10" sqref="F10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5" width="17.7109375" style="1" customWidth="1"/>
    <col min="6" max="6" width="15.42578125" style="61" customWidth="1"/>
    <col min="7" max="7" width="17.140625" style="56" customWidth="1"/>
    <col min="8" max="8" width="13.7109375" style="1" customWidth="1"/>
    <col min="9" max="9" width="11.42578125" style="1" customWidth="1"/>
    <col min="10" max="10" width="15.42578125" style="56" customWidth="1"/>
    <col min="11" max="11" width="10.140625" style="1" bestFit="1" customWidth="1"/>
    <col min="12" max="12" width="14.140625" style="61" customWidth="1"/>
    <col min="13" max="13" width="14.42578125" style="61" customWidth="1"/>
    <col min="14" max="16384" width="10.85546875" style="1"/>
  </cols>
  <sheetData>
    <row r="1" spans="1:20" s="6" customFormat="1">
      <c r="A1" s="53" t="s">
        <v>43</v>
      </c>
      <c r="B1" s="27"/>
      <c r="C1" s="7">
        <v>9524075</v>
      </c>
      <c r="D1" s="7"/>
      <c r="E1" s="7"/>
      <c r="F1" s="62"/>
      <c r="G1" s="68"/>
      <c r="H1" s="9"/>
      <c r="I1" s="9"/>
      <c r="J1" s="68"/>
      <c r="K1" s="9"/>
      <c r="L1" s="62"/>
      <c r="M1" s="62"/>
      <c r="N1" s="41">
        <f ca="1">'SC1 MRB'!N1</f>
        <v>43335.607293981484</v>
      </c>
      <c r="O1" s="20"/>
      <c r="P1" s="20"/>
      <c r="Q1" s="20"/>
      <c r="R1" s="20"/>
      <c r="S1" s="20"/>
      <c r="T1" s="20"/>
    </row>
    <row r="2" spans="1:20" s="21" customFormat="1">
      <c r="A2" s="54" t="s">
        <v>257</v>
      </c>
      <c r="B2" s="20"/>
      <c r="C2" s="22"/>
      <c r="D2" s="22"/>
      <c r="E2" s="22"/>
      <c r="F2" s="67"/>
      <c r="G2" s="57"/>
      <c r="H2" s="23"/>
      <c r="I2" s="23"/>
      <c r="J2" s="57"/>
      <c r="K2" s="23"/>
      <c r="L2" s="65"/>
      <c r="M2" s="65"/>
      <c r="N2" s="42"/>
      <c r="O2" s="20"/>
      <c r="P2" s="20"/>
      <c r="Q2" s="20"/>
      <c r="R2" s="20"/>
      <c r="S2" s="20"/>
      <c r="T2" s="20"/>
    </row>
    <row r="3" spans="1:20">
      <c r="A3" s="45"/>
      <c r="B3" s="21"/>
      <c r="C3" s="20"/>
      <c r="D3" s="20"/>
      <c r="E3" s="20"/>
      <c r="F3" s="67"/>
      <c r="G3" s="57"/>
      <c r="H3" s="23"/>
      <c r="I3" s="23"/>
      <c r="J3" s="57"/>
      <c r="K3" s="23"/>
      <c r="L3" s="67"/>
      <c r="M3" s="67"/>
      <c r="N3" s="42"/>
      <c r="O3" s="20"/>
      <c r="P3" s="20"/>
      <c r="Q3" s="20"/>
      <c r="R3" s="20"/>
      <c r="S3" s="20"/>
      <c r="T3" s="20"/>
    </row>
    <row r="4" spans="1:20" s="12" customFormat="1">
      <c r="A4" s="45" t="s">
        <v>215</v>
      </c>
      <c r="B4" s="20" t="s">
        <v>242</v>
      </c>
      <c r="C4" s="20" t="s">
        <v>197</v>
      </c>
      <c r="D4" s="22" t="s">
        <v>282</v>
      </c>
      <c r="E4" s="20" t="s">
        <v>268</v>
      </c>
      <c r="F4" s="65" t="s">
        <v>151</v>
      </c>
      <c r="G4" s="77" t="s">
        <v>30</v>
      </c>
      <c r="H4" s="24" t="s">
        <v>74</v>
      </c>
      <c r="I4" s="24" t="s">
        <v>218</v>
      </c>
      <c r="J4" s="77" t="s">
        <v>19</v>
      </c>
      <c r="K4" s="24" t="s">
        <v>252</v>
      </c>
      <c r="L4" s="65" t="s">
        <v>168</v>
      </c>
      <c r="M4" s="65" t="s">
        <v>267</v>
      </c>
      <c r="N4" s="42" t="s">
        <v>148</v>
      </c>
      <c r="O4" s="20"/>
      <c r="P4" s="20"/>
      <c r="Q4" s="20"/>
      <c r="R4" s="20"/>
      <c r="S4" s="20"/>
      <c r="T4" s="20"/>
    </row>
    <row r="5" spans="1:20" s="20" customFormat="1">
      <c r="A5" s="45" t="s">
        <v>281</v>
      </c>
      <c r="B5" s="21"/>
      <c r="D5" s="22"/>
      <c r="E5" s="22"/>
      <c r="F5" s="65" t="s">
        <v>259</v>
      </c>
      <c r="G5" s="77" t="s">
        <v>259</v>
      </c>
      <c r="H5" s="24" t="s">
        <v>34</v>
      </c>
      <c r="I5" s="24" t="s">
        <v>102</v>
      </c>
      <c r="J5" s="77" t="s">
        <v>259</v>
      </c>
      <c r="K5" s="24" t="s">
        <v>102</v>
      </c>
      <c r="L5" s="65" t="s">
        <v>259</v>
      </c>
      <c r="M5" s="65" t="s">
        <v>259</v>
      </c>
      <c r="N5" s="42" t="s">
        <v>21</v>
      </c>
    </row>
    <row r="6" spans="1:20" s="12" customFormat="1" ht="11.25" thickBot="1">
      <c r="A6" s="46" t="s">
        <v>207</v>
      </c>
      <c r="B6" s="15"/>
      <c r="C6" s="15"/>
      <c r="D6" s="15"/>
      <c r="E6" s="15"/>
      <c r="F6" s="64"/>
      <c r="G6" s="70"/>
      <c r="H6" s="18"/>
      <c r="I6" s="18"/>
      <c r="J6" s="70"/>
      <c r="K6" s="18"/>
      <c r="L6" s="64"/>
      <c r="M6" s="64"/>
      <c r="N6" s="47" t="s">
        <v>34</v>
      </c>
      <c r="O6" s="20"/>
      <c r="P6" s="20"/>
      <c r="Q6" s="20"/>
      <c r="R6" s="20"/>
      <c r="S6" s="20"/>
      <c r="T6" s="20"/>
    </row>
    <row r="7" spans="1:20" s="21" customFormat="1">
      <c r="A7" s="55" t="s">
        <v>119</v>
      </c>
      <c r="B7" s="1"/>
      <c r="C7" s="1"/>
      <c r="D7" s="1"/>
      <c r="E7" s="1"/>
      <c r="F7" s="61"/>
      <c r="G7" s="56"/>
      <c r="H7" s="3"/>
      <c r="I7" s="3"/>
      <c r="J7" s="56"/>
      <c r="K7" s="3"/>
      <c r="L7" s="61"/>
      <c r="M7" s="61"/>
      <c r="N7" s="3"/>
    </row>
    <row r="8" spans="1:20" s="21" customFormat="1">
      <c r="A8" s="55"/>
      <c r="B8" s="1"/>
      <c r="C8" s="1"/>
      <c r="D8" s="1"/>
      <c r="E8" s="1"/>
      <c r="F8" s="61"/>
      <c r="G8" s="56"/>
      <c r="H8" s="3"/>
      <c r="I8" s="3"/>
      <c r="J8" s="56"/>
      <c r="K8" s="3"/>
      <c r="L8" s="61"/>
      <c r="M8" s="61"/>
      <c r="N8" s="3"/>
    </row>
    <row r="9" spans="1:20" ht="12">
      <c r="A9" s="142"/>
      <c r="B9" s="142"/>
      <c r="C9" s="142"/>
      <c r="D9" s="142"/>
      <c r="E9" s="142"/>
      <c r="F9" s="143"/>
      <c r="G9" s="143"/>
      <c r="H9" s="144"/>
      <c r="I9" s="3"/>
      <c r="J9" s="30"/>
      <c r="K9" s="3"/>
      <c r="L9" s="56"/>
      <c r="M9" s="56"/>
      <c r="N9" s="3"/>
    </row>
    <row r="10" spans="1:20" ht="12">
      <c r="A10" s="55"/>
      <c r="B10"/>
      <c r="C10"/>
      <c r="D10"/>
      <c r="E10"/>
      <c r="F10" s="112"/>
      <c r="G10" s="112"/>
      <c r="H10"/>
      <c r="L10" s="56"/>
      <c r="M10" s="56"/>
    </row>
    <row r="12" spans="1:20" ht="12">
      <c r="A12" s="142"/>
      <c r="B12" s="142"/>
      <c r="C12" s="142"/>
      <c r="D12" s="142"/>
      <c r="E12" s="142"/>
      <c r="F12" s="143"/>
      <c r="G12" s="143"/>
      <c r="H12" s="144"/>
      <c r="I12" s="3"/>
      <c r="K12" s="3"/>
      <c r="L12" s="56"/>
      <c r="M12" s="143"/>
      <c r="N12" s="3"/>
    </row>
    <row r="13" spans="1:20" ht="12">
      <c r="A13"/>
      <c r="B13"/>
      <c r="C13"/>
      <c r="D13"/>
      <c r="E13"/>
      <c r="F13" s="112"/>
      <c r="G13" s="112"/>
      <c r="H13"/>
      <c r="L13" s="56"/>
      <c r="M13" s="56"/>
    </row>
    <row r="14" spans="1:20" s="26" customFormat="1">
      <c r="A14" s="21"/>
      <c r="B14" s="21"/>
      <c r="C14" s="21"/>
      <c r="D14" s="21"/>
      <c r="E14" s="21"/>
      <c r="F14" s="67"/>
      <c r="G14" s="72"/>
      <c r="H14" s="3"/>
      <c r="I14" s="3"/>
      <c r="J14" s="72"/>
      <c r="K14" s="3"/>
      <c r="L14" s="67"/>
      <c r="M14" s="57"/>
      <c r="N14" s="4"/>
    </row>
    <row r="15" spans="1:20" s="26" customFormat="1">
      <c r="A15" s="1"/>
      <c r="B15" s="1"/>
      <c r="C15" s="12" t="s">
        <v>103</v>
      </c>
      <c r="D15" s="12"/>
      <c r="E15" s="12"/>
      <c r="F15" s="165">
        <f>SUM(F7:F13)</f>
        <v>0</v>
      </c>
      <c r="G15" s="73">
        <f>SUM(G7:G13)</f>
        <v>0</v>
      </c>
      <c r="H15" s="3"/>
      <c r="I15" s="3"/>
      <c r="J15" s="76">
        <f>SUM(J7:J13)</f>
        <v>0</v>
      </c>
      <c r="K15" s="3"/>
      <c r="L15" s="56">
        <f>SUM(L7:L13)</f>
        <v>0</v>
      </c>
      <c r="M15" s="56">
        <f>SUM(M7:M13)</f>
        <v>0</v>
      </c>
      <c r="N15" s="4"/>
    </row>
    <row r="16" spans="1:20">
      <c r="C16" s="12"/>
      <c r="D16" s="12"/>
      <c r="E16" s="12"/>
      <c r="G16" s="76"/>
      <c r="H16" s="3"/>
      <c r="I16" s="3"/>
      <c r="J16" s="76"/>
      <c r="K16" s="3"/>
      <c r="N16" s="4"/>
      <c r="O16" s="5"/>
      <c r="P16" s="5"/>
      <c r="Q16" s="5"/>
      <c r="R16" s="5"/>
      <c r="S16" s="5"/>
      <c r="T16" s="5"/>
    </row>
    <row r="17" spans="1:20">
      <c r="A17" s="12"/>
      <c r="B17" s="12"/>
      <c r="C17" s="12" t="s">
        <v>264</v>
      </c>
      <c r="D17" s="12"/>
      <c r="E17" s="12"/>
      <c r="F17" s="69">
        <f>SUM(F15-G15)</f>
        <v>0</v>
      </c>
      <c r="G17" s="79"/>
      <c r="H17" s="4"/>
      <c r="I17" s="4"/>
      <c r="J17" s="73"/>
      <c r="K17" s="4"/>
      <c r="L17" s="63"/>
      <c r="M17" s="63"/>
      <c r="N17" s="4"/>
      <c r="O17" s="5"/>
      <c r="P17" s="5"/>
      <c r="Q17" s="5"/>
      <c r="R17" s="5"/>
      <c r="S17" s="5"/>
      <c r="T17" s="5"/>
    </row>
    <row r="18" spans="1:20">
      <c r="A18" s="12"/>
      <c r="B18" s="12"/>
      <c r="C18" s="12"/>
      <c r="D18" s="12"/>
      <c r="E18" s="12"/>
      <c r="G18" s="73"/>
      <c r="H18" s="4"/>
      <c r="I18" s="4"/>
      <c r="J18" s="73"/>
      <c r="K18" s="4"/>
      <c r="L18" s="63"/>
      <c r="M18" s="63"/>
      <c r="N18" s="4"/>
      <c r="O18" s="5"/>
      <c r="P18" s="5"/>
      <c r="Q18" s="5"/>
      <c r="R18" s="5"/>
      <c r="S18" s="5"/>
      <c r="T18" s="5"/>
    </row>
    <row r="19" spans="1:20">
      <c r="A19" s="12"/>
      <c r="B19" s="12"/>
      <c r="C19" s="12" t="s">
        <v>37</v>
      </c>
      <c r="D19" s="12"/>
      <c r="E19" s="12"/>
      <c r="F19" s="69">
        <f>+C1-G15+M15</f>
        <v>9524075</v>
      </c>
      <c r="G19" s="73"/>
      <c r="H19" s="4"/>
      <c r="I19" s="4"/>
      <c r="J19" s="73"/>
      <c r="K19" s="4"/>
      <c r="L19" s="63"/>
      <c r="M19" s="63"/>
      <c r="N19" s="4"/>
      <c r="O19" s="5"/>
      <c r="P19" s="5"/>
      <c r="Q19" s="5"/>
      <c r="R19" s="5"/>
      <c r="S19" s="5"/>
      <c r="T19" s="5"/>
    </row>
  </sheetData>
  <phoneticPr fontId="0" type="noConversion"/>
  <pageMargins left="0.75" right="0.75" top="1" bottom="1" header="0.5" footer="0.5"/>
  <pageSetup scale="7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6"/>
  <sheetViews>
    <sheetView topLeftCell="A65" workbookViewId="0">
      <selection activeCell="F213" sqref="F213"/>
    </sheetView>
  </sheetViews>
  <sheetFormatPr defaultRowHeight="12"/>
  <cols>
    <col min="1" max="1" width="15.5703125" bestFit="1" customWidth="1"/>
    <col min="2" max="2" width="8.5703125" style="231" customWidth="1"/>
    <col min="3" max="3" width="39.85546875" bestFit="1" customWidth="1"/>
    <col min="4" max="4" width="30.5703125" bestFit="1" customWidth="1"/>
    <col min="5" max="6" width="11.42578125" bestFit="1" customWidth="1"/>
    <col min="7" max="7" width="6.85546875" bestFit="1" customWidth="1"/>
    <col min="8" max="10" width="12.42578125" bestFit="1" customWidth="1"/>
  </cols>
  <sheetData>
    <row r="1" spans="1:8">
      <c r="A1" s="246">
        <f>'REGION 1'!F24+'REGION 2'!F16+'REGION 3'!F54+'REGION 4'!F25+'REGION 5'!F19+'REGION 6'!F88+'REGION 7'!F38+'REGION 8A'!F36+'REGION 8B'!F22+'REGION 9'!F20+'REGION 10'!F19+'REGION 7'!H2+'SC1 MRB'!D67+'State Voted'!D20+'Small Issue IDBs'!D33+'SC4 MF- TDHCA'!F118+'SC4 MF- TDHCA'!G1+'Student Loan Bonds'!D19+'SC6 OTHER'!F43</f>
        <v>215567849.55000001</v>
      </c>
      <c r="B1" s="254" t="s">
        <v>682</v>
      </c>
      <c r="C1" s="130"/>
      <c r="F1" s="130"/>
      <c r="H1" s="130"/>
    </row>
    <row r="2" spans="1:8">
      <c r="A2" s="245"/>
    </row>
    <row r="3" spans="1:8" ht="14.25" customHeight="1">
      <c r="A3" s="130" t="s">
        <v>661</v>
      </c>
      <c r="B3" s="254" t="s">
        <v>662</v>
      </c>
      <c r="C3" s="130" t="s">
        <v>663</v>
      </c>
      <c r="D3" s="130" t="s">
        <v>664</v>
      </c>
      <c r="E3" s="130" t="s">
        <v>665</v>
      </c>
      <c r="F3" s="130" t="s">
        <v>666</v>
      </c>
      <c r="G3" s="130" t="s">
        <v>667</v>
      </c>
    </row>
    <row r="4" spans="1:8" ht="14.25" customHeight="1">
      <c r="A4" s="130" t="s">
        <v>119</v>
      </c>
    </row>
    <row r="5" spans="1:8">
      <c r="A5">
        <v>3</v>
      </c>
      <c r="B5" s="231" t="s">
        <v>669</v>
      </c>
      <c r="C5" t="s">
        <v>265</v>
      </c>
      <c r="D5" t="s">
        <v>518</v>
      </c>
      <c r="E5" s="112">
        <v>15000000</v>
      </c>
      <c r="F5" t="s">
        <v>656</v>
      </c>
      <c r="G5">
        <v>1</v>
      </c>
    </row>
    <row r="6" spans="1:8">
      <c r="A6">
        <v>5</v>
      </c>
      <c r="B6" s="231">
        <v>2647</v>
      </c>
      <c r="C6" t="s">
        <v>301</v>
      </c>
      <c r="D6" t="s">
        <v>479</v>
      </c>
      <c r="E6" s="112">
        <v>10000000</v>
      </c>
      <c r="F6" t="s">
        <v>668</v>
      </c>
      <c r="G6">
        <v>1</v>
      </c>
    </row>
    <row r="7" spans="1:8">
      <c r="A7">
        <v>6</v>
      </c>
      <c r="B7" s="231">
        <v>2663</v>
      </c>
      <c r="C7" t="s">
        <v>265</v>
      </c>
      <c r="D7" t="s">
        <v>519</v>
      </c>
      <c r="E7" s="112">
        <v>15000000</v>
      </c>
      <c r="F7" t="s">
        <v>656</v>
      </c>
      <c r="G7">
        <v>1</v>
      </c>
    </row>
    <row r="8" spans="1:8">
      <c r="A8">
        <v>7</v>
      </c>
      <c r="B8" s="231">
        <v>2649</v>
      </c>
      <c r="C8" t="s">
        <v>36</v>
      </c>
      <c r="D8" t="s">
        <v>520</v>
      </c>
      <c r="E8" s="112">
        <v>15000000</v>
      </c>
      <c r="F8" t="s">
        <v>656</v>
      </c>
      <c r="G8">
        <v>1</v>
      </c>
    </row>
    <row r="9" spans="1:8">
      <c r="A9">
        <v>8</v>
      </c>
      <c r="B9" s="231">
        <v>2676</v>
      </c>
      <c r="C9" t="s">
        <v>27</v>
      </c>
      <c r="D9" t="s">
        <v>481</v>
      </c>
      <c r="E9" s="112">
        <v>15000000</v>
      </c>
      <c r="F9" t="s">
        <v>668</v>
      </c>
      <c r="G9">
        <v>1</v>
      </c>
    </row>
    <row r="10" spans="1:8">
      <c r="A10">
        <v>9</v>
      </c>
      <c r="B10" s="231">
        <v>2695</v>
      </c>
      <c r="C10" t="s">
        <v>265</v>
      </c>
      <c r="D10" t="s">
        <v>521</v>
      </c>
      <c r="E10" s="112">
        <v>10650000</v>
      </c>
      <c r="F10" t="s">
        <v>656</v>
      </c>
      <c r="G10">
        <v>1</v>
      </c>
    </row>
    <row r="11" spans="1:8">
      <c r="A11">
        <v>11</v>
      </c>
      <c r="B11" s="231">
        <v>2687</v>
      </c>
      <c r="C11" t="s">
        <v>222</v>
      </c>
      <c r="D11" t="s">
        <v>608</v>
      </c>
      <c r="E11" s="112">
        <v>14000000</v>
      </c>
      <c r="F11" t="s">
        <v>668</v>
      </c>
      <c r="G11">
        <v>2</v>
      </c>
    </row>
    <row r="12" spans="1:8">
      <c r="A12">
        <v>14</v>
      </c>
      <c r="B12" s="231">
        <v>2662</v>
      </c>
      <c r="C12" t="s">
        <v>61</v>
      </c>
      <c r="D12" t="s">
        <v>482</v>
      </c>
      <c r="E12" s="112">
        <v>14300000</v>
      </c>
      <c r="F12" t="s">
        <v>668</v>
      </c>
      <c r="G12">
        <v>1</v>
      </c>
    </row>
    <row r="13" spans="1:8">
      <c r="A13">
        <v>17</v>
      </c>
      <c r="B13" s="231" t="s">
        <v>669</v>
      </c>
      <c r="C13" t="s">
        <v>36</v>
      </c>
      <c r="D13" t="s">
        <v>522</v>
      </c>
      <c r="E13" s="112">
        <v>15000000</v>
      </c>
      <c r="F13" t="s">
        <v>658</v>
      </c>
      <c r="G13">
        <v>1</v>
      </c>
    </row>
    <row r="14" spans="1:8">
      <c r="A14">
        <v>19</v>
      </c>
      <c r="B14" s="231">
        <v>2693</v>
      </c>
      <c r="C14" t="s">
        <v>265</v>
      </c>
      <c r="D14" t="s">
        <v>523</v>
      </c>
      <c r="E14" s="112">
        <v>10450000</v>
      </c>
      <c r="F14" t="s">
        <v>668</v>
      </c>
      <c r="G14">
        <v>1</v>
      </c>
    </row>
    <row r="15" spans="1:8">
      <c r="A15">
        <v>20</v>
      </c>
      <c r="B15" s="231">
        <v>2704</v>
      </c>
      <c r="C15" t="s">
        <v>265</v>
      </c>
      <c r="D15" t="s">
        <v>524</v>
      </c>
      <c r="E15" s="112">
        <v>15000000</v>
      </c>
      <c r="F15" t="s">
        <v>668</v>
      </c>
      <c r="G15">
        <v>1</v>
      </c>
    </row>
    <row r="16" spans="1:8">
      <c r="A16">
        <v>22</v>
      </c>
      <c r="B16" s="231" t="s">
        <v>669</v>
      </c>
      <c r="C16" t="s">
        <v>265</v>
      </c>
      <c r="D16" t="s">
        <v>525</v>
      </c>
      <c r="E16" s="112">
        <v>15000000</v>
      </c>
      <c r="F16" t="s">
        <v>656</v>
      </c>
      <c r="G16">
        <v>1</v>
      </c>
    </row>
    <row r="17" spans="1:9">
      <c r="A17">
        <v>23</v>
      </c>
      <c r="B17" s="231">
        <v>2713</v>
      </c>
      <c r="C17" t="s">
        <v>265</v>
      </c>
      <c r="D17" t="s">
        <v>659</v>
      </c>
      <c r="E17" s="112">
        <v>15000000</v>
      </c>
      <c r="F17" t="s">
        <v>656</v>
      </c>
      <c r="G17">
        <v>1</v>
      </c>
    </row>
    <row r="18" spans="1:9">
      <c r="A18">
        <v>24</v>
      </c>
      <c r="B18" s="231" t="s">
        <v>669</v>
      </c>
      <c r="C18" t="s">
        <v>36</v>
      </c>
      <c r="D18" t="s">
        <v>526</v>
      </c>
      <c r="E18" s="112">
        <v>15000000</v>
      </c>
      <c r="F18" t="s">
        <v>658</v>
      </c>
      <c r="G18">
        <v>1</v>
      </c>
    </row>
    <row r="19" spans="1:9">
      <c r="A19">
        <v>28</v>
      </c>
      <c r="B19" s="231" t="s">
        <v>669</v>
      </c>
      <c r="C19" t="s">
        <v>36</v>
      </c>
      <c r="D19" t="s">
        <v>527</v>
      </c>
      <c r="E19" s="112">
        <v>15000000</v>
      </c>
      <c r="F19" t="s">
        <v>658</v>
      </c>
      <c r="G19">
        <v>1</v>
      </c>
    </row>
    <row r="20" spans="1:9">
      <c r="A20">
        <v>30</v>
      </c>
      <c r="B20" s="231">
        <v>2685</v>
      </c>
      <c r="C20" t="s">
        <v>27</v>
      </c>
      <c r="D20" t="s">
        <v>484</v>
      </c>
      <c r="E20" s="112">
        <v>15000000</v>
      </c>
      <c r="F20" t="s">
        <v>656</v>
      </c>
      <c r="G20">
        <v>1</v>
      </c>
    </row>
    <row r="21" spans="1:9">
      <c r="A21">
        <v>32</v>
      </c>
      <c r="B21" s="231">
        <v>2720</v>
      </c>
      <c r="C21" t="s">
        <v>36</v>
      </c>
      <c r="D21" t="s">
        <v>528</v>
      </c>
      <c r="E21" s="112">
        <v>10000000</v>
      </c>
      <c r="F21" t="s">
        <v>658</v>
      </c>
      <c r="G21">
        <v>1</v>
      </c>
    </row>
    <row r="22" spans="1:9">
      <c r="A22">
        <v>39</v>
      </c>
      <c r="B22" s="231" t="s">
        <v>669</v>
      </c>
      <c r="C22" t="s">
        <v>27</v>
      </c>
      <c r="D22" t="s">
        <v>485</v>
      </c>
      <c r="E22" s="112">
        <v>15000000</v>
      </c>
      <c r="F22" t="s">
        <v>656</v>
      </c>
      <c r="G22">
        <v>1</v>
      </c>
    </row>
    <row r="23" spans="1:9">
      <c r="A23">
        <v>42</v>
      </c>
      <c r="B23" s="231">
        <v>2650</v>
      </c>
      <c r="C23" t="s">
        <v>64</v>
      </c>
      <c r="D23" t="s">
        <v>591</v>
      </c>
      <c r="E23" s="112">
        <v>6500000</v>
      </c>
      <c r="F23" t="s">
        <v>658</v>
      </c>
      <c r="G23">
        <v>2</v>
      </c>
    </row>
    <row r="24" spans="1:9">
      <c r="A24">
        <v>43</v>
      </c>
      <c r="B24" s="231">
        <v>2702</v>
      </c>
      <c r="C24" t="s">
        <v>78</v>
      </c>
      <c r="D24" t="s">
        <v>486</v>
      </c>
      <c r="E24" s="112">
        <v>14394115</v>
      </c>
      <c r="F24" t="s">
        <v>668</v>
      </c>
      <c r="G24">
        <v>1</v>
      </c>
    </row>
    <row r="25" spans="1:9">
      <c r="A25">
        <v>45</v>
      </c>
      <c r="B25" s="231">
        <v>2721</v>
      </c>
      <c r="C25" t="s">
        <v>529</v>
      </c>
      <c r="D25" t="s">
        <v>530</v>
      </c>
      <c r="E25" s="112">
        <v>12000000</v>
      </c>
      <c r="F25" t="s">
        <v>656</v>
      </c>
      <c r="G25">
        <v>1</v>
      </c>
    </row>
    <row r="26" spans="1:9">
      <c r="A26">
        <v>47</v>
      </c>
      <c r="B26" s="231">
        <v>2686</v>
      </c>
      <c r="C26" t="s">
        <v>64</v>
      </c>
      <c r="D26" t="s">
        <v>587</v>
      </c>
      <c r="E26" s="112">
        <v>15000000</v>
      </c>
      <c r="F26" t="s">
        <v>668</v>
      </c>
      <c r="G26">
        <v>1</v>
      </c>
    </row>
    <row r="27" spans="1:9">
      <c r="A27">
        <v>49</v>
      </c>
      <c r="B27" s="231">
        <v>2707</v>
      </c>
      <c r="C27" t="s">
        <v>78</v>
      </c>
      <c r="D27" t="s">
        <v>487</v>
      </c>
      <c r="E27" s="112">
        <v>12365792</v>
      </c>
      <c r="F27" t="s">
        <v>668</v>
      </c>
      <c r="G27">
        <v>1</v>
      </c>
    </row>
    <row r="28" spans="1:9">
      <c r="A28">
        <v>51</v>
      </c>
      <c r="B28" s="231" t="s">
        <v>669</v>
      </c>
      <c r="C28" t="s">
        <v>36</v>
      </c>
      <c r="D28" t="s">
        <v>531</v>
      </c>
      <c r="E28" s="112">
        <v>14500000</v>
      </c>
      <c r="F28" t="s">
        <v>658</v>
      </c>
      <c r="G28">
        <v>1</v>
      </c>
      <c r="I28" s="112"/>
    </row>
    <row r="29" spans="1:9">
      <c r="A29">
        <v>53</v>
      </c>
      <c r="B29" s="231" t="s">
        <v>669</v>
      </c>
      <c r="C29" t="s">
        <v>265</v>
      </c>
      <c r="D29" t="s">
        <v>532</v>
      </c>
      <c r="E29" s="112">
        <v>15000000</v>
      </c>
      <c r="F29" t="s">
        <v>658</v>
      </c>
      <c r="G29">
        <v>1</v>
      </c>
    </row>
    <row r="30" spans="1:9">
      <c r="A30">
        <v>54</v>
      </c>
      <c r="B30" s="231">
        <v>2696</v>
      </c>
      <c r="C30" t="s">
        <v>166</v>
      </c>
      <c r="D30" t="s">
        <v>474</v>
      </c>
      <c r="E30" s="112">
        <v>8400000</v>
      </c>
      <c r="F30" t="s">
        <v>658</v>
      </c>
      <c r="G30">
        <v>2</v>
      </c>
    </row>
    <row r="31" spans="1:9">
      <c r="A31">
        <v>56</v>
      </c>
      <c r="B31" s="231">
        <v>2728</v>
      </c>
      <c r="C31" t="s">
        <v>36</v>
      </c>
      <c r="D31" t="s">
        <v>533</v>
      </c>
      <c r="E31" s="112">
        <v>15000000</v>
      </c>
      <c r="F31" t="s">
        <v>656</v>
      </c>
      <c r="G31">
        <v>1</v>
      </c>
    </row>
    <row r="32" spans="1:9">
      <c r="A32">
        <v>57</v>
      </c>
      <c r="B32" s="231">
        <v>2727</v>
      </c>
      <c r="C32" t="s">
        <v>36</v>
      </c>
      <c r="D32" t="s">
        <v>534</v>
      </c>
      <c r="E32" s="112">
        <v>15000000</v>
      </c>
      <c r="F32" t="s">
        <v>668</v>
      </c>
      <c r="G32">
        <v>1</v>
      </c>
    </row>
    <row r="33" spans="1:10">
      <c r="A33">
        <v>60</v>
      </c>
      <c r="B33" s="231" t="s">
        <v>669</v>
      </c>
      <c r="C33" t="s">
        <v>265</v>
      </c>
      <c r="D33" t="s">
        <v>535</v>
      </c>
      <c r="E33" s="112">
        <v>15000000</v>
      </c>
      <c r="F33" t="s">
        <v>656</v>
      </c>
      <c r="G33">
        <v>1</v>
      </c>
    </row>
    <row r="34" spans="1:10">
      <c r="A34">
        <v>62</v>
      </c>
      <c r="B34" s="231">
        <v>2729</v>
      </c>
      <c r="C34" t="s">
        <v>265</v>
      </c>
      <c r="D34" t="s">
        <v>536</v>
      </c>
      <c r="E34" s="112">
        <v>15000000</v>
      </c>
      <c r="F34" t="s">
        <v>658</v>
      </c>
      <c r="G34">
        <v>1</v>
      </c>
    </row>
    <row r="35" spans="1:10">
      <c r="A35">
        <v>63</v>
      </c>
      <c r="B35" s="231">
        <v>2731</v>
      </c>
      <c r="C35" t="s">
        <v>265</v>
      </c>
      <c r="D35" t="s">
        <v>537</v>
      </c>
      <c r="E35" s="112">
        <v>9000000</v>
      </c>
      <c r="F35" t="s">
        <v>668</v>
      </c>
      <c r="G35">
        <v>1</v>
      </c>
      <c r="J35" s="112"/>
    </row>
    <row r="36" spans="1:10">
      <c r="A36">
        <v>67</v>
      </c>
      <c r="B36" s="231" t="s">
        <v>669</v>
      </c>
      <c r="C36" t="s">
        <v>36</v>
      </c>
      <c r="D36" t="s">
        <v>538</v>
      </c>
      <c r="E36" s="112">
        <v>14500000</v>
      </c>
      <c r="F36" t="s">
        <v>658</v>
      </c>
      <c r="G36">
        <v>1</v>
      </c>
    </row>
    <row r="37" spans="1:10">
      <c r="A37">
        <v>68</v>
      </c>
      <c r="B37" s="231" t="s">
        <v>669</v>
      </c>
      <c r="C37" t="s">
        <v>78</v>
      </c>
      <c r="D37" t="s">
        <v>488</v>
      </c>
      <c r="E37" s="112">
        <v>8000000</v>
      </c>
      <c r="F37" t="s">
        <v>658</v>
      </c>
      <c r="G37">
        <v>1</v>
      </c>
    </row>
    <row r="38" spans="1:10">
      <c r="A38">
        <v>70</v>
      </c>
      <c r="B38" s="231">
        <v>2664</v>
      </c>
      <c r="C38" t="s">
        <v>230</v>
      </c>
      <c r="D38" t="s">
        <v>606</v>
      </c>
      <c r="E38" s="112">
        <v>7600000</v>
      </c>
      <c r="F38" t="s">
        <v>668</v>
      </c>
      <c r="G38">
        <v>1</v>
      </c>
    </row>
    <row r="39" spans="1:10">
      <c r="A39">
        <v>76</v>
      </c>
      <c r="B39" s="231" t="s">
        <v>669</v>
      </c>
      <c r="C39" t="s">
        <v>36</v>
      </c>
      <c r="D39" t="s">
        <v>539</v>
      </c>
      <c r="E39" s="112">
        <v>15000000</v>
      </c>
      <c r="F39" t="s">
        <v>658</v>
      </c>
      <c r="G39">
        <v>1</v>
      </c>
    </row>
    <row r="40" spans="1:10">
      <c r="A40">
        <v>78</v>
      </c>
      <c r="B40" s="231">
        <v>2732</v>
      </c>
      <c r="C40" t="s">
        <v>27</v>
      </c>
      <c r="D40" t="s">
        <v>489</v>
      </c>
      <c r="E40" s="112">
        <v>15000000</v>
      </c>
      <c r="F40" t="s">
        <v>668</v>
      </c>
      <c r="G40">
        <v>1</v>
      </c>
    </row>
    <row r="41" spans="1:10">
      <c r="A41">
        <v>80</v>
      </c>
      <c r="B41" s="231" t="s">
        <v>669</v>
      </c>
      <c r="C41" t="s">
        <v>222</v>
      </c>
      <c r="D41" t="s">
        <v>609</v>
      </c>
      <c r="E41" s="112">
        <v>14000000</v>
      </c>
      <c r="F41" t="s">
        <v>658</v>
      </c>
      <c r="G41">
        <v>2</v>
      </c>
    </row>
    <row r="42" spans="1:10">
      <c r="A42">
        <v>84</v>
      </c>
      <c r="B42" s="231">
        <v>2733</v>
      </c>
      <c r="C42" t="s">
        <v>529</v>
      </c>
      <c r="D42" t="s">
        <v>711</v>
      </c>
      <c r="E42" s="112">
        <v>15000000</v>
      </c>
      <c r="F42" t="s">
        <v>668</v>
      </c>
      <c r="G42">
        <v>1</v>
      </c>
    </row>
    <row r="43" spans="1:10">
      <c r="A43">
        <v>87</v>
      </c>
      <c r="B43" s="231">
        <v>2734</v>
      </c>
      <c r="C43" t="s">
        <v>36</v>
      </c>
      <c r="D43" t="s">
        <v>540</v>
      </c>
      <c r="E43" s="112">
        <v>15000000</v>
      </c>
      <c r="F43" t="s">
        <v>668</v>
      </c>
      <c r="G43">
        <v>1</v>
      </c>
    </row>
    <row r="44" spans="1:10">
      <c r="A44">
        <v>93</v>
      </c>
      <c r="B44" s="231">
        <v>2738</v>
      </c>
      <c r="C44" t="s">
        <v>36</v>
      </c>
      <c r="D44" t="s">
        <v>541</v>
      </c>
      <c r="E44" s="112">
        <v>15000000</v>
      </c>
      <c r="F44" t="s">
        <v>668</v>
      </c>
      <c r="G44">
        <v>1</v>
      </c>
    </row>
    <row r="45" spans="1:10">
      <c r="A45">
        <v>94</v>
      </c>
      <c r="B45" s="231">
        <v>2740</v>
      </c>
      <c r="C45" t="s">
        <v>230</v>
      </c>
      <c r="D45" t="s">
        <v>610</v>
      </c>
      <c r="E45" s="112">
        <v>15000000</v>
      </c>
      <c r="F45" t="s">
        <v>658</v>
      </c>
      <c r="G45">
        <v>2</v>
      </c>
    </row>
    <row r="46" spans="1:10">
      <c r="A46">
        <v>99</v>
      </c>
      <c r="B46" s="231" t="s">
        <v>669</v>
      </c>
      <c r="C46" t="s">
        <v>36</v>
      </c>
      <c r="D46" t="s">
        <v>542</v>
      </c>
      <c r="E46" s="112">
        <v>12500000</v>
      </c>
      <c r="F46" t="s">
        <v>658</v>
      </c>
      <c r="G46">
        <v>1</v>
      </c>
      <c r="I46" s="112"/>
    </row>
    <row r="47" spans="1:10">
      <c r="A47">
        <v>102</v>
      </c>
      <c r="B47" s="231" t="s">
        <v>669</v>
      </c>
      <c r="C47" t="s">
        <v>27</v>
      </c>
      <c r="D47" t="s">
        <v>490</v>
      </c>
      <c r="E47" s="112">
        <v>15000000</v>
      </c>
      <c r="F47" t="s">
        <v>658</v>
      </c>
      <c r="G47">
        <v>1</v>
      </c>
    </row>
    <row r="48" spans="1:10">
      <c r="A48">
        <v>104</v>
      </c>
      <c r="B48" s="231">
        <v>2748</v>
      </c>
      <c r="C48" t="s">
        <v>265</v>
      </c>
      <c r="D48" t="s">
        <v>543</v>
      </c>
      <c r="E48" s="112">
        <v>14500000</v>
      </c>
      <c r="F48" t="s">
        <v>668</v>
      </c>
      <c r="G48">
        <v>1</v>
      </c>
    </row>
    <row r="49" spans="1:9">
      <c r="A49">
        <v>105</v>
      </c>
      <c r="B49" s="231" t="s">
        <v>669</v>
      </c>
      <c r="C49" t="s">
        <v>230</v>
      </c>
      <c r="D49" t="s">
        <v>611</v>
      </c>
      <c r="E49" s="112">
        <v>15000000</v>
      </c>
      <c r="F49" t="s">
        <v>656</v>
      </c>
      <c r="G49">
        <v>2</v>
      </c>
    </row>
    <row r="50" spans="1:9">
      <c r="A50">
        <v>112</v>
      </c>
      <c r="B50" s="231">
        <v>2749</v>
      </c>
      <c r="C50" t="s">
        <v>36</v>
      </c>
      <c r="D50" t="s">
        <v>544</v>
      </c>
      <c r="E50" s="112">
        <v>15000000</v>
      </c>
      <c r="F50" t="s">
        <v>658</v>
      </c>
      <c r="G50">
        <v>1</v>
      </c>
    </row>
    <row r="51" spans="1:9">
      <c r="A51">
        <v>113</v>
      </c>
      <c r="B51" s="231" t="s">
        <v>669</v>
      </c>
      <c r="C51" t="s">
        <v>64</v>
      </c>
      <c r="D51" t="s">
        <v>598</v>
      </c>
      <c r="E51" s="112">
        <v>6500000</v>
      </c>
      <c r="F51" t="s">
        <v>658</v>
      </c>
      <c r="G51">
        <v>2</v>
      </c>
    </row>
    <row r="52" spans="1:9">
      <c r="A52">
        <v>115</v>
      </c>
      <c r="B52" s="231" t="s">
        <v>669</v>
      </c>
      <c r="C52" t="s">
        <v>265</v>
      </c>
      <c r="D52" t="s">
        <v>545</v>
      </c>
      <c r="E52" s="112">
        <v>15000000</v>
      </c>
      <c r="F52" t="s">
        <v>658</v>
      </c>
      <c r="G52">
        <v>1</v>
      </c>
    </row>
    <row r="53" spans="1:9">
      <c r="A53">
        <v>117</v>
      </c>
      <c r="B53" s="231" t="s">
        <v>669</v>
      </c>
      <c r="C53" t="s">
        <v>27</v>
      </c>
      <c r="D53" t="s">
        <v>491</v>
      </c>
      <c r="E53" s="112">
        <v>15000000</v>
      </c>
      <c r="F53" t="s">
        <v>658</v>
      </c>
      <c r="G53">
        <v>1</v>
      </c>
    </row>
    <row r="54" spans="1:9">
      <c r="A54">
        <v>118</v>
      </c>
      <c r="B54" s="231" t="s">
        <v>669</v>
      </c>
      <c r="C54" t="s">
        <v>69</v>
      </c>
      <c r="D54" t="s">
        <v>492</v>
      </c>
      <c r="E54" s="112">
        <v>15000000</v>
      </c>
      <c r="F54" t="s">
        <v>656</v>
      </c>
      <c r="G54">
        <v>1</v>
      </c>
    </row>
    <row r="55" spans="1:9">
      <c r="A55">
        <v>119</v>
      </c>
      <c r="B55" s="231" t="s">
        <v>669</v>
      </c>
      <c r="C55" t="s">
        <v>69</v>
      </c>
      <c r="D55" t="s">
        <v>493</v>
      </c>
      <c r="E55" s="112">
        <v>13600000</v>
      </c>
      <c r="F55" t="s">
        <v>656</v>
      </c>
      <c r="G55">
        <v>1</v>
      </c>
      <c r="I55" s="112"/>
    </row>
    <row r="56" spans="1:9">
      <c r="A56">
        <v>123</v>
      </c>
      <c r="B56" s="231" t="s">
        <v>669</v>
      </c>
      <c r="C56" t="s">
        <v>36</v>
      </c>
      <c r="D56" t="s">
        <v>546</v>
      </c>
      <c r="E56" s="112">
        <v>12000000</v>
      </c>
      <c r="F56" t="s">
        <v>658</v>
      </c>
      <c r="G56">
        <v>1</v>
      </c>
    </row>
    <row r="57" spans="1:9">
      <c r="A57">
        <v>125</v>
      </c>
      <c r="B57" s="231" t="s">
        <v>669</v>
      </c>
      <c r="C57" t="s">
        <v>222</v>
      </c>
      <c r="D57" t="s">
        <v>612</v>
      </c>
      <c r="E57" s="112">
        <v>14000000</v>
      </c>
      <c r="F57" t="s">
        <v>658</v>
      </c>
      <c r="G57">
        <v>2</v>
      </c>
    </row>
    <row r="58" spans="1:9">
      <c r="A58">
        <v>127</v>
      </c>
      <c r="B58" s="231" t="s">
        <v>669</v>
      </c>
      <c r="C58" t="s">
        <v>529</v>
      </c>
      <c r="D58" t="s">
        <v>547</v>
      </c>
      <c r="E58" s="112">
        <v>15000000</v>
      </c>
      <c r="F58" t="s">
        <v>656</v>
      </c>
      <c r="G58">
        <v>1</v>
      </c>
    </row>
    <row r="59" spans="1:9">
      <c r="A59">
        <v>131</v>
      </c>
      <c r="B59" s="231" t="s">
        <v>669</v>
      </c>
      <c r="C59" t="s">
        <v>222</v>
      </c>
      <c r="D59" t="s">
        <v>613</v>
      </c>
      <c r="E59" s="112">
        <v>14400000</v>
      </c>
      <c r="F59" t="s">
        <v>658</v>
      </c>
      <c r="G59">
        <v>2</v>
      </c>
    </row>
    <row r="60" spans="1:9">
      <c r="A60">
        <v>132</v>
      </c>
      <c r="B60" s="231">
        <v>2710</v>
      </c>
      <c r="C60" t="s">
        <v>64</v>
      </c>
      <c r="D60" t="s">
        <v>588</v>
      </c>
      <c r="E60" s="112">
        <v>12000000</v>
      </c>
      <c r="F60" t="s">
        <v>668</v>
      </c>
      <c r="G60">
        <v>1</v>
      </c>
    </row>
    <row r="61" spans="1:9">
      <c r="A61">
        <v>133</v>
      </c>
      <c r="B61" s="231">
        <v>2750</v>
      </c>
      <c r="C61" t="s">
        <v>27</v>
      </c>
      <c r="D61" t="s">
        <v>694</v>
      </c>
      <c r="E61" s="112">
        <v>15000000</v>
      </c>
      <c r="F61" t="s">
        <v>668</v>
      </c>
      <c r="G61">
        <v>1</v>
      </c>
    </row>
    <row r="62" spans="1:9">
      <c r="A62">
        <v>134</v>
      </c>
      <c r="B62" s="231" t="s">
        <v>669</v>
      </c>
      <c r="C62" t="s">
        <v>265</v>
      </c>
      <c r="D62" t="s">
        <v>548</v>
      </c>
      <c r="E62" s="112">
        <v>15000000</v>
      </c>
      <c r="F62" t="s">
        <v>658</v>
      </c>
      <c r="G62">
        <v>1</v>
      </c>
    </row>
    <row r="63" spans="1:9">
      <c r="A63">
        <v>137</v>
      </c>
      <c r="B63" s="231" t="s">
        <v>669</v>
      </c>
      <c r="C63" t="s">
        <v>230</v>
      </c>
      <c r="D63" t="s">
        <v>614</v>
      </c>
      <c r="E63" s="112">
        <v>9000000</v>
      </c>
      <c r="F63" t="s">
        <v>658</v>
      </c>
      <c r="G63">
        <v>2</v>
      </c>
    </row>
    <row r="64" spans="1:9">
      <c r="A64">
        <v>141</v>
      </c>
      <c r="B64" s="231" t="s">
        <v>669</v>
      </c>
      <c r="C64" t="s">
        <v>265</v>
      </c>
      <c r="D64" t="s">
        <v>549</v>
      </c>
      <c r="E64" s="112">
        <v>15000000</v>
      </c>
      <c r="F64" t="s">
        <v>658</v>
      </c>
      <c r="G64">
        <v>1</v>
      </c>
    </row>
    <row r="65" spans="1:7">
      <c r="A65">
        <v>145</v>
      </c>
      <c r="B65" s="231">
        <v>2751</v>
      </c>
      <c r="C65" t="s">
        <v>82</v>
      </c>
      <c r="D65" t="s">
        <v>495</v>
      </c>
      <c r="E65" s="112">
        <v>13000000</v>
      </c>
      <c r="F65" t="s">
        <v>656</v>
      </c>
      <c r="G65">
        <v>1</v>
      </c>
    </row>
    <row r="66" spans="1:7">
      <c r="A66">
        <v>150</v>
      </c>
      <c r="B66" s="231">
        <v>2752</v>
      </c>
      <c r="C66" t="s">
        <v>27</v>
      </c>
      <c r="D66" t="s">
        <v>496</v>
      </c>
      <c r="E66" s="112">
        <v>15000000</v>
      </c>
      <c r="F66" t="s">
        <v>656</v>
      </c>
      <c r="G66">
        <v>1</v>
      </c>
    </row>
    <row r="67" spans="1:7">
      <c r="A67">
        <v>151</v>
      </c>
      <c r="B67" s="231" t="s">
        <v>669</v>
      </c>
      <c r="C67" t="s">
        <v>46</v>
      </c>
      <c r="D67" t="s">
        <v>476</v>
      </c>
      <c r="E67" s="112">
        <v>4800000</v>
      </c>
      <c r="F67" t="s">
        <v>658</v>
      </c>
      <c r="G67">
        <v>2</v>
      </c>
    </row>
    <row r="68" spans="1:7">
      <c r="A68">
        <v>152</v>
      </c>
      <c r="B68" s="231" t="s">
        <v>669</v>
      </c>
      <c r="C68" t="s">
        <v>27</v>
      </c>
      <c r="D68" t="s">
        <v>497</v>
      </c>
      <c r="E68" s="112">
        <v>14805000</v>
      </c>
      <c r="F68" t="s">
        <v>656</v>
      </c>
      <c r="G68">
        <v>1</v>
      </c>
    </row>
    <row r="69" spans="1:7">
      <c r="A69">
        <v>153</v>
      </c>
      <c r="B69" s="231">
        <v>2753</v>
      </c>
      <c r="C69" t="s">
        <v>27</v>
      </c>
      <c r="D69" t="s">
        <v>498</v>
      </c>
      <c r="E69" s="112">
        <v>15000000</v>
      </c>
      <c r="F69" t="s">
        <v>668</v>
      </c>
      <c r="G69">
        <v>1</v>
      </c>
    </row>
    <row r="70" spans="1:7">
      <c r="A70">
        <v>154</v>
      </c>
      <c r="B70" s="231">
        <v>2754</v>
      </c>
      <c r="C70" t="s">
        <v>265</v>
      </c>
      <c r="D70" t="s">
        <v>550</v>
      </c>
      <c r="E70" s="112">
        <v>15000000</v>
      </c>
      <c r="F70" t="s">
        <v>668</v>
      </c>
      <c r="G70">
        <v>1</v>
      </c>
    </row>
    <row r="71" spans="1:7">
      <c r="A71">
        <v>156</v>
      </c>
      <c r="B71" s="231" t="s">
        <v>669</v>
      </c>
      <c r="C71" t="s">
        <v>36</v>
      </c>
      <c r="D71" t="s">
        <v>551</v>
      </c>
      <c r="E71" s="112">
        <v>14500000</v>
      </c>
      <c r="F71" t="s">
        <v>658</v>
      </c>
      <c r="G71">
        <v>1</v>
      </c>
    </row>
    <row r="72" spans="1:7">
      <c r="A72">
        <v>157</v>
      </c>
      <c r="B72" s="231">
        <v>2755</v>
      </c>
      <c r="C72" t="s">
        <v>36</v>
      </c>
      <c r="D72" t="s">
        <v>552</v>
      </c>
      <c r="E72" s="112">
        <v>15000000</v>
      </c>
      <c r="F72" t="s">
        <v>668</v>
      </c>
      <c r="G72">
        <v>1</v>
      </c>
    </row>
    <row r="73" spans="1:7">
      <c r="A73">
        <v>164</v>
      </c>
      <c r="B73" s="231" t="s">
        <v>669</v>
      </c>
      <c r="C73" t="s">
        <v>36</v>
      </c>
      <c r="D73" t="s">
        <v>553</v>
      </c>
      <c r="E73" s="112">
        <v>15000000</v>
      </c>
      <c r="F73" t="s">
        <v>658</v>
      </c>
      <c r="G73">
        <v>1</v>
      </c>
    </row>
    <row r="74" spans="1:7">
      <c r="A74">
        <v>168</v>
      </c>
      <c r="B74" s="231" t="s">
        <v>669</v>
      </c>
      <c r="C74" t="s">
        <v>60</v>
      </c>
      <c r="D74" t="s">
        <v>444</v>
      </c>
      <c r="E74" s="112">
        <v>10500000</v>
      </c>
      <c r="F74" t="s">
        <v>656</v>
      </c>
      <c r="G74">
        <v>2</v>
      </c>
    </row>
    <row r="75" spans="1:7">
      <c r="A75">
        <v>169</v>
      </c>
      <c r="B75" s="231" t="s">
        <v>669</v>
      </c>
      <c r="C75" t="s">
        <v>554</v>
      </c>
      <c r="D75" t="s">
        <v>555</v>
      </c>
      <c r="E75" s="112">
        <v>13500000</v>
      </c>
      <c r="F75" t="s">
        <v>656</v>
      </c>
      <c r="G75">
        <v>1</v>
      </c>
    </row>
    <row r="76" spans="1:7">
      <c r="A76">
        <v>171</v>
      </c>
      <c r="B76" s="231" t="s">
        <v>669</v>
      </c>
      <c r="C76" t="s">
        <v>230</v>
      </c>
      <c r="D76" t="s">
        <v>615</v>
      </c>
      <c r="E76" s="112">
        <v>15000000</v>
      </c>
      <c r="F76" t="s">
        <v>658</v>
      </c>
      <c r="G76">
        <v>2</v>
      </c>
    </row>
    <row r="77" spans="1:7">
      <c r="A77">
        <v>173</v>
      </c>
      <c r="B77" s="231">
        <v>2756</v>
      </c>
      <c r="C77" t="s">
        <v>61</v>
      </c>
      <c r="D77" t="s">
        <v>499</v>
      </c>
      <c r="E77" s="112">
        <v>14300000</v>
      </c>
      <c r="F77" t="s">
        <v>658</v>
      </c>
      <c r="G77">
        <v>1</v>
      </c>
    </row>
    <row r="78" spans="1:7">
      <c r="A78">
        <v>178</v>
      </c>
      <c r="B78" s="231" t="s">
        <v>669</v>
      </c>
      <c r="C78" t="s">
        <v>222</v>
      </c>
      <c r="D78" t="s">
        <v>616</v>
      </c>
      <c r="E78" s="112">
        <v>14000000</v>
      </c>
      <c r="F78" t="s">
        <v>658</v>
      </c>
      <c r="G78">
        <v>2</v>
      </c>
    </row>
    <row r="79" spans="1:7">
      <c r="A79">
        <v>179</v>
      </c>
      <c r="B79" s="231" t="s">
        <v>669</v>
      </c>
      <c r="C79" t="s">
        <v>265</v>
      </c>
      <c r="D79" t="s">
        <v>557</v>
      </c>
      <c r="E79" s="112">
        <v>11129000</v>
      </c>
      <c r="F79" t="s">
        <v>658</v>
      </c>
      <c r="G79">
        <v>1</v>
      </c>
    </row>
    <row r="80" spans="1:7">
      <c r="A80">
        <v>181</v>
      </c>
      <c r="B80" s="231" t="s">
        <v>669</v>
      </c>
      <c r="C80" t="s">
        <v>78</v>
      </c>
      <c r="D80" t="s">
        <v>500</v>
      </c>
      <c r="E80" s="112">
        <v>14394115</v>
      </c>
      <c r="F80" t="s">
        <v>658</v>
      </c>
      <c r="G80">
        <v>1</v>
      </c>
    </row>
    <row r="81" spans="1:9">
      <c r="A81">
        <v>183</v>
      </c>
      <c r="B81" s="231" t="s">
        <v>669</v>
      </c>
      <c r="C81" t="s">
        <v>166</v>
      </c>
      <c r="D81" t="s">
        <v>478</v>
      </c>
      <c r="E81" s="112">
        <v>8400000</v>
      </c>
      <c r="F81" t="s">
        <v>658</v>
      </c>
      <c r="G81">
        <v>2</v>
      </c>
    </row>
    <row r="82" spans="1:9">
      <c r="A82">
        <v>185</v>
      </c>
      <c r="B82" s="231" t="s">
        <v>669</v>
      </c>
      <c r="C82" t="s">
        <v>36</v>
      </c>
      <c r="D82" t="s">
        <v>558</v>
      </c>
      <c r="E82" s="112">
        <v>10000000</v>
      </c>
      <c r="F82" t="s">
        <v>658</v>
      </c>
      <c r="G82">
        <v>1</v>
      </c>
      <c r="I82" s="112"/>
    </row>
    <row r="83" spans="1:9">
      <c r="A83">
        <v>186</v>
      </c>
      <c r="B83" s="231" t="s">
        <v>669</v>
      </c>
      <c r="C83" t="s">
        <v>301</v>
      </c>
      <c r="D83" t="s">
        <v>501</v>
      </c>
      <c r="E83" s="112">
        <v>10000000</v>
      </c>
      <c r="F83" t="s">
        <v>656</v>
      </c>
      <c r="G83">
        <v>1</v>
      </c>
    </row>
    <row r="84" spans="1:9">
      <c r="A84">
        <v>190</v>
      </c>
      <c r="B84" s="231" t="s">
        <v>669</v>
      </c>
      <c r="C84" t="s">
        <v>222</v>
      </c>
      <c r="D84" t="s">
        <v>617</v>
      </c>
      <c r="E84" s="112">
        <v>14000000</v>
      </c>
      <c r="F84" t="s">
        <v>658</v>
      </c>
      <c r="G84">
        <v>2</v>
      </c>
    </row>
    <row r="85" spans="1:9">
      <c r="A85">
        <v>198</v>
      </c>
      <c r="B85" s="231" t="s">
        <v>669</v>
      </c>
      <c r="C85" t="s">
        <v>27</v>
      </c>
      <c r="D85" t="s">
        <v>503</v>
      </c>
      <c r="E85" s="112">
        <v>15000000</v>
      </c>
      <c r="F85" t="s">
        <v>658</v>
      </c>
      <c r="G85">
        <v>1</v>
      </c>
    </row>
    <row r="86" spans="1:9">
      <c r="A86">
        <v>203</v>
      </c>
      <c r="C86" t="s">
        <v>27</v>
      </c>
      <c r="D86" t="s">
        <v>504</v>
      </c>
      <c r="E86" s="112">
        <v>15000000</v>
      </c>
      <c r="F86" t="s">
        <v>656</v>
      </c>
      <c r="G86">
        <v>1</v>
      </c>
    </row>
    <row r="87" spans="1:9">
      <c r="A87">
        <v>206</v>
      </c>
      <c r="B87" s="231">
        <v>2757</v>
      </c>
      <c r="C87" t="s">
        <v>36</v>
      </c>
      <c r="D87" t="s">
        <v>559</v>
      </c>
      <c r="E87" s="112">
        <v>9000000</v>
      </c>
      <c r="F87" t="s">
        <v>668</v>
      </c>
      <c r="G87">
        <v>1</v>
      </c>
    </row>
    <row r="88" spans="1:9">
      <c r="A88">
        <v>208</v>
      </c>
      <c r="B88" s="231" t="s">
        <v>669</v>
      </c>
      <c r="C88" t="s">
        <v>36</v>
      </c>
      <c r="D88" t="s">
        <v>560</v>
      </c>
      <c r="E88" s="112">
        <v>8500000</v>
      </c>
      <c r="F88" t="s">
        <v>658</v>
      </c>
      <c r="G88">
        <v>1</v>
      </c>
    </row>
    <row r="89" spans="1:9">
      <c r="A89">
        <v>210</v>
      </c>
      <c r="B89" s="231" t="s">
        <v>669</v>
      </c>
      <c r="C89" t="s">
        <v>36</v>
      </c>
      <c r="D89" t="s">
        <v>561</v>
      </c>
      <c r="E89" s="112">
        <v>15000000</v>
      </c>
      <c r="F89" t="s">
        <v>656</v>
      </c>
      <c r="G89">
        <v>1</v>
      </c>
    </row>
    <row r="90" spans="1:9">
      <c r="A90">
        <v>213</v>
      </c>
      <c r="B90" s="231" t="s">
        <v>669</v>
      </c>
      <c r="C90" t="s">
        <v>27</v>
      </c>
      <c r="D90" t="s">
        <v>505</v>
      </c>
      <c r="E90" s="112">
        <v>15000000</v>
      </c>
      <c r="F90" t="s">
        <v>658</v>
      </c>
      <c r="G90">
        <v>1</v>
      </c>
    </row>
    <row r="91" spans="1:9">
      <c r="A91">
        <v>217</v>
      </c>
      <c r="B91" s="231">
        <v>2758</v>
      </c>
      <c r="C91" t="s">
        <v>529</v>
      </c>
      <c r="D91" t="s">
        <v>562</v>
      </c>
      <c r="E91" s="112">
        <v>14500000</v>
      </c>
      <c r="F91" t="s">
        <v>656</v>
      </c>
      <c r="G91">
        <v>1</v>
      </c>
    </row>
    <row r="92" spans="1:9">
      <c r="A92">
        <v>218</v>
      </c>
      <c r="B92" s="231" t="s">
        <v>669</v>
      </c>
      <c r="C92" t="s">
        <v>222</v>
      </c>
      <c r="D92" t="s">
        <v>618</v>
      </c>
      <c r="E92" s="112">
        <v>14000000</v>
      </c>
      <c r="F92" t="s">
        <v>658</v>
      </c>
      <c r="G92">
        <v>2</v>
      </c>
    </row>
    <row r="93" spans="1:9">
      <c r="A93">
        <v>219</v>
      </c>
      <c r="B93" s="231">
        <v>2759</v>
      </c>
      <c r="C93" t="s">
        <v>36</v>
      </c>
      <c r="D93" t="s">
        <v>563</v>
      </c>
      <c r="E93" s="112">
        <v>12000000</v>
      </c>
      <c r="F93" t="s">
        <v>656</v>
      </c>
      <c r="G93">
        <v>1</v>
      </c>
    </row>
    <row r="94" spans="1:9">
      <c r="A94">
        <v>220</v>
      </c>
      <c r="B94" s="231" t="s">
        <v>669</v>
      </c>
      <c r="C94" t="s">
        <v>265</v>
      </c>
      <c r="D94" t="s">
        <v>564</v>
      </c>
      <c r="E94" s="112">
        <v>15000000</v>
      </c>
      <c r="F94" t="s">
        <v>658</v>
      </c>
      <c r="G94">
        <v>1</v>
      </c>
    </row>
    <row r="95" spans="1:9">
      <c r="A95">
        <v>224</v>
      </c>
      <c r="B95" s="231">
        <v>2714</v>
      </c>
      <c r="C95" t="s">
        <v>38</v>
      </c>
      <c r="D95" t="s">
        <v>660</v>
      </c>
      <c r="E95" s="112">
        <v>8999000</v>
      </c>
      <c r="F95" t="s">
        <v>658</v>
      </c>
      <c r="G95">
        <v>1</v>
      </c>
    </row>
    <row r="96" spans="1:9">
      <c r="A96">
        <v>227</v>
      </c>
      <c r="B96" s="231" t="s">
        <v>669</v>
      </c>
      <c r="C96" t="s">
        <v>69</v>
      </c>
      <c r="D96" t="s">
        <v>506</v>
      </c>
      <c r="E96" s="112">
        <v>13800000</v>
      </c>
      <c r="F96" t="s">
        <v>656</v>
      </c>
      <c r="G96">
        <v>1</v>
      </c>
    </row>
    <row r="97" spans="1:9">
      <c r="A97">
        <v>229</v>
      </c>
      <c r="B97" s="231" t="s">
        <v>669</v>
      </c>
      <c r="C97" t="s">
        <v>36</v>
      </c>
      <c r="D97" t="s">
        <v>565</v>
      </c>
      <c r="E97" s="112">
        <v>10000000</v>
      </c>
      <c r="F97" t="s">
        <v>658</v>
      </c>
      <c r="G97">
        <v>1</v>
      </c>
    </row>
    <row r="98" spans="1:9">
      <c r="A98">
        <v>234</v>
      </c>
      <c r="B98" s="231">
        <v>2760</v>
      </c>
      <c r="C98" t="s">
        <v>230</v>
      </c>
      <c r="D98" t="s">
        <v>619</v>
      </c>
      <c r="E98" s="112">
        <v>15000000</v>
      </c>
      <c r="F98" t="s">
        <v>668</v>
      </c>
      <c r="G98">
        <v>2</v>
      </c>
    </row>
    <row r="99" spans="1:9">
      <c r="A99">
        <v>242</v>
      </c>
      <c r="B99" s="231" t="s">
        <v>669</v>
      </c>
      <c r="C99" t="s">
        <v>2</v>
      </c>
      <c r="D99" t="s">
        <v>566</v>
      </c>
      <c r="E99" s="112">
        <v>9000000</v>
      </c>
      <c r="F99" t="s">
        <v>656</v>
      </c>
      <c r="G99">
        <v>1</v>
      </c>
    </row>
    <row r="100" spans="1:9">
      <c r="A100">
        <v>243</v>
      </c>
      <c r="B100" s="231" t="s">
        <v>669</v>
      </c>
      <c r="C100" t="s">
        <v>265</v>
      </c>
      <c r="D100" t="s">
        <v>567</v>
      </c>
      <c r="E100" s="112">
        <v>8112500</v>
      </c>
      <c r="F100" t="s">
        <v>658</v>
      </c>
      <c r="G100">
        <v>1</v>
      </c>
    </row>
    <row r="101" spans="1:9">
      <c r="A101">
        <v>251</v>
      </c>
      <c r="C101" t="s">
        <v>82</v>
      </c>
      <c r="D101" t="s">
        <v>508</v>
      </c>
      <c r="E101" s="112">
        <v>7000000</v>
      </c>
      <c r="F101" t="s">
        <v>656</v>
      </c>
      <c r="G101">
        <v>1</v>
      </c>
    </row>
    <row r="102" spans="1:9">
      <c r="A102">
        <v>253</v>
      </c>
      <c r="B102" s="231" t="s">
        <v>669</v>
      </c>
      <c r="C102" t="s">
        <v>36</v>
      </c>
      <c r="D102" t="s">
        <v>568</v>
      </c>
      <c r="E102" s="112">
        <v>15000000</v>
      </c>
      <c r="F102" t="s">
        <v>658</v>
      </c>
      <c r="G102">
        <v>1</v>
      </c>
    </row>
    <row r="103" spans="1:9">
      <c r="A103">
        <v>255</v>
      </c>
      <c r="B103" s="231" t="s">
        <v>669</v>
      </c>
      <c r="C103" t="s">
        <v>27</v>
      </c>
      <c r="D103" t="s">
        <v>509</v>
      </c>
      <c r="E103" s="112">
        <v>15000000</v>
      </c>
      <c r="F103" t="s">
        <v>656</v>
      </c>
      <c r="G103">
        <v>1</v>
      </c>
    </row>
    <row r="104" spans="1:9">
      <c r="A104">
        <v>258</v>
      </c>
      <c r="B104" s="231">
        <v>2761</v>
      </c>
      <c r="C104" t="s">
        <v>265</v>
      </c>
      <c r="D104" t="s">
        <v>569</v>
      </c>
      <c r="E104" s="112">
        <v>9435000</v>
      </c>
      <c r="F104" t="s">
        <v>658</v>
      </c>
      <c r="G104">
        <v>1</v>
      </c>
    </row>
    <row r="105" spans="1:9">
      <c r="A105">
        <v>261</v>
      </c>
      <c r="B105" s="231">
        <v>2762</v>
      </c>
      <c r="C105" t="s">
        <v>529</v>
      </c>
      <c r="D105" t="s">
        <v>570</v>
      </c>
      <c r="E105" s="112">
        <v>15000000</v>
      </c>
      <c r="F105" t="s">
        <v>656</v>
      </c>
      <c r="G105">
        <v>1</v>
      </c>
      <c r="I105" s="112"/>
    </row>
    <row r="106" spans="1:9">
      <c r="A106">
        <v>270</v>
      </c>
      <c r="B106" s="231" t="s">
        <v>669</v>
      </c>
      <c r="C106" t="s">
        <v>27</v>
      </c>
      <c r="D106" t="s">
        <v>510</v>
      </c>
      <c r="E106" s="112">
        <v>15000000</v>
      </c>
      <c r="F106" t="s">
        <v>656</v>
      </c>
      <c r="G106">
        <v>1</v>
      </c>
    </row>
    <row r="107" spans="1:9">
      <c r="A107">
        <v>273</v>
      </c>
      <c r="B107" s="231" t="s">
        <v>669</v>
      </c>
      <c r="C107" t="s">
        <v>265</v>
      </c>
      <c r="D107" t="s">
        <v>571</v>
      </c>
      <c r="E107" s="112">
        <v>8000000</v>
      </c>
      <c r="F107" t="s">
        <v>658</v>
      </c>
      <c r="G107">
        <v>1</v>
      </c>
    </row>
    <row r="108" spans="1:9">
      <c r="A108">
        <v>278</v>
      </c>
      <c r="B108" s="231">
        <v>2763</v>
      </c>
      <c r="C108" t="s">
        <v>265</v>
      </c>
      <c r="D108" t="s">
        <v>572</v>
      </c>
      <c r="E108" s="112">
        <v>15000000</v>
      </c>
      <c r="F108" t="s">
        <v>658</v>
      </c>
      <c r="G108">
        <v>1</v>
      </c>
    </row>
    <row r="109" spans="1:9">
      <c r="A109">
        <v>283</v>
      </c>
      <c r="B109" s="231">
        <v>2764</v>
      </c>
      <c r="C109" t="s">
        <v>529</v>
      </c>
      <c r="D109" t="s">
        <v>573</v>
      </c>
      <c r="E109" s="112">
        <v>14000000</v>
      </c>
      <c r="F109" t="s">
        <v>656</v>
      </c>
      <c r="G109">
        <v>1</v>
      </c>
    </row>
    <row r="110" spans="1:9">
      <c r="A110">
        <v>284</v>
      </c>
      <c r="B110" s="231" t="s">
        <v>669</v>
      </c>
      <c r="C110" t="s">
        <v>27</v>
      </c>
      <c r="D110" t="s">
        <v>511</v>
      </c>
      <c r="E110" s="112">
        <v>15000000</v>
      </c>
      <c r="F110" t="s">
        <v>658</v>
      </c>
      <c r="G110">
        <v>1</v>
      </c>
    </row>
    <row r="111" spans="1:9">
      <c r="A111">
        <v>287</v>
      </c>
      <c r="B111" s="231" t="s">
        <v>669</v>
      </c>
      <c r="C111" t="s">
        <v>2</v>
      </c>
      <c r="D111" t="s">
        <v>574</v>
      </c>
      <c r="E111" s="112">
        <v>5000000</v>
      </c>
      <c r="F111" t="s">
        <v>656</v>
      </c>
      <c r="G111">
        <v>1</v>
      </c>
    </row>
    <row r="112" spans="1:9">
      <c r="A112">
        <v>291</v>
      </c>
      <c r="B112" s="231">
        <v>2765</v>
      </c>
      <c r="C112" t="s">
        <v>265</v>
      </c>
      <c r="D112" t="s">
        <v>575</v>
      </c>
      <c r="E112" s="112">
        <v>11500000</v>
      </c>
      <c r="F112" t="s">
        <v>656</v>
      </c>
      <c r="G112">
        <v>1</v>
      </c>
    </row>
    <row r="113" spans="1:8">
      <c r="B113" s="231">
        <v>2648</v>
      </c>
      <c r="C113" t="s">
        <v>297</v>
      </c>
      <c r="D113" t="s">
        <v>622</v>
      </c>
      <c r="E113" s="112">
        <v>9941094</v>
      </c>
      <c r="F113" t="s">
        <v>668</v>
      </c>
      <c r="G113">
        <v>2</v>
      </c>
    </row>
    <row r="114" spans="1:8">
      <c r="A114" s="20"/>
      <c r="B114" s="231">
        <v>2723</v>
      </c>
      <c r="C114" s="39" t="s">
        <v>675</v>
      </c>
      <c r="D114" s="39" t="s">
        <v>673</v>
      </c>
      <c r="E114" s="136">
        <v>7100790</v>
      </c>
      <c r="F114" s="74" t="s">
        <v>658</v>
      </c>
      <c r="G114" s="152">
        <v>3</v>
      </c>
    </row>
    <row r="115" spans="1:8">
      <c r="B115" s="231" t="s">
        <v>669</v>
      </c>
      <c r="C115" s="152" t="s">
        <v>166</v>
      </c>
      <c r="D115" s="152" t="s">
        <v>676</v>
      </c>
      <c r="E115" s="112">
        <v>1500000</v>
      </c>
      <c r="F115" t="s">
        <v>658</v>
      </c>
      <c r="G115" s="152">
        <v>2</v>
      </c>
    </row>
    <row r="116" spans="1:8">
      <c r="B116" s="231">
        <v>2724</v>
      </c>
      <c r="C116" s="152" t="s">
        <v>166</v>
      </c>
      <c r="D116" s="152" t="s">
        <v>677</v>
      </c>
      <c r="E116" s="122">
        <v>5738473</v>
      </c>
      <c r="F116" t="s">
        <v>668</v>
      </c>
      <c r="G116" s="152">
        <v>2</v>
      </c>
    </row>
    <row r="117" spans="1:8">
      <c r="B117" s="231">
        <v>2725</v>
      </c>
      <c r="C117" s="52" t="s">
        <v>276</v>
      </c>
      <c r="D117" s="52" t="s">
        <v>678</v>
      </c>
      <c r="E117" s="30">
        <v>13722558</v>
      </c>
      <c r="F117" t="s">
        <v>668</v>
      </c>
      <c r="G117" s="152">
        <v>2</v>
      </c>
    </row>
    <row r="118" spans="1:8">
      <c r="C118" s="52"/>
      <c r="D118" s="52"/>
      <c r="E118" s="30"/>
      <c r="G118" s="152"/>
    </row>
    <row r="119" spans="1:8">
      <c r="A119" s="130" t="s">
        <v>3</v>
      </c>
      <c r="E119" s="112"/>
    </row>
    <row r="121" spans="1:8">
      <c r="A121">
        <v>1</v>
      </c>
      <c r="B121" s="231">
        <v>2765</v>
      </c>
      <c r="C121" t="s">
        <v>36</v>
      </c>
      <c r="D121" t="s">
        <v>576</v>
      </c>
      <c r="E121" s="112">
        <v>15000000</v>
      </c>
      <c r="F121" t="s">
        <v>668</v>
      </c>
      <c r="H121" s="112"/>
    </row>
    <row r="122" spans="1:8">
      <c r="A122">
        <v>10</v>
      </c>
      <c r="B122" s="231" t="s">
        <v>669</v>
      </c>
      <c r="C122" t="s">
        <v>156</v>
      </c>
      <c r="D122" t="s">
        <v>402</v>
      </c>
      <c r="E122" s="112">
        <v>14000000</v>
      </c>
      <c r="F122" t="s">
        <v>658</v>
      </c>
    </row>
    <row r="123" spans="1:8">
      <c r="A123">
        <v>12</v>
      </c>
      <c r="B123" s="231">
        <v>2766</v>
      </c>
      <c r="C123" t="s">
        <v>36</v>
      </c>
      <c r="D123" t="s">
        <v>577</v>
      </c>
      <c r="E123" s="112">
        <v>15000000</v>
      </c>
      <c r="F123" t="s">
        <v>658</v>
      </c>
    </row>
    <row r="124" spans="1:8">
      <c r="A124">
        <v>15</v>
      </c>
      <c r="B124" s="231">
        <v>2767</v>
      </c>
      <c r="C124" t="s">
        <v>156</v>
      </c>
      <c r="D124" t="s">
        <v>403</v>
      </c>
      <c r="E124" s="112">
        <v>14700000</v>
      </c>
      <c r="F124" t="s">
        <v>658</v>
      </c>
    </row>
    <row r="125" spans="1:8">
      <c r="A125">
        <v>18</v>
      </c>
      <c r="B125" s="231" t="s">
        <v>669</v>
      </c>
      <c r="C125" t="s">
        <v>156</v>
      </c>
      <c r="D125" t="s">
        <v>404</v>
      </c>
      <c r="E125" s="112">
        <v>15000000</v>
      </c>
      <c r="F125" t="s">
        <v>658</v>
      </c>
    </row>
    <row r="126" spans="1:8">
      <c r="A126">
        <v>21</v>
      </c>
      <c r="B126" s="231" t="s">
        <v>669</v>
      </c>
      <c r="C126" t="s">
        <v>78</v>
      </c>
      <c r="D126" t="s">
        <v>512</v>
      </c>
      <c r="E126" s="112">
        <v>13800000</v>
      </c>
      <c r="F126" t="s">
        <v>658</v>
      </c>
    </row>
    <row r="127" spans="1:8">
      <c r="A127">
        <v>25</v>
      </c>
      <c r="B127" s="231">
        <v>2768</v>
      </c>
      <c r="C127" t="s">
        <v>156</v>
      </c>
      <c r="D127" t="s">
        <v>405</v>
      </c>
      <c r="E127" s="112">
        <v>13100000</v>
      </c>
      <c r="F127" t="s">
        <v>658</v>
      </c>
    </row>
    <row r="128" spans="1:8">
      <c r="A128">
        <v>26</v>
      </c>
      <c r="B128" s="231">
        <v>2769</v>
      </c>
      <c r="C128" t="s">
        <v>529</v>
      </c>
      <c r="D128" t="s">
        <v>578</v>
      </c>
      <c r="E128" s="112">
        <v>15000000</v>
      </c>
      <c r="F128" t="s">
        <v>656</v>
      </c>
    </row>
    <row r="129" spans="1:8">
      <c r="A129">
        <v>31</v>
      </c>
      <c r="B129" s="231" t="s">
        <v>669</v>
      </c>
      <c r="C129" t="s">
        <v>156</v>
      </c>
      <c r="D129" t="s">
        <v>406</v>
      </c>
      <c r="E129" s="112">
        <v>14200000</v>
      </c>
      <c r="F129" t="s">
        <v>658</v>
      </c>
    </row>
    <row r="130" spans="1:8">
      <c r="A130">
        <v>33</v>
      </c>
      <c r="B130" s="231">
        <v>2770</v>
      </c>
      <c r="C130" t="s">
        <v>156</v>
      </c>
      <c r="D130" t="s">
        <v>407</v>
      </c>
      <c r="E130" s="112">
        <v>15000000</v>
      </c>
      <c r="F130" t="s">
        <v>668</v>
      </c>
    </row>
    <row r="131" spans="1:8">
      <c r="A131">
        <v>34</v>
      </c>
      <c r="B131" s="231">
        <v>2771</v>
      </c>
      <c r="C131" t="s">
        <v>64</v>
      </c>
      <c r="D131" t="s">
        <v>589</v>
      </c>
      <c r="E131" s="112">
        <v>7500000</v>
      </c>
      <c r="F131" t="s">
        <v>656</v>
      </c>
    </row>
    <row r="132" spans="1:8">
      <c r="A132">
        <v>36</v>
      </c>
      <c r="B132" s="231">
        <v>2772</v>
      </c>
      <c r="C132" t="s">
        <v>156</v>
      </c>
      <c r="D132" t="s">
        <v>408</v>
      </c>
      <c r="E132" s="112">
        <v>7000000</v>
      </c>
      <c r="F132" t="s">
        <v>668</v>
      </c>
    </row>
    <row r="133" spans="1:8">
      <c r="A133">
        <v>41</v>
      </c>
      <c r="B133" s="231" t="s">
        <v>669</v>
      </c>
      <c r="C133" t="s">
        <v>156</v>
      </c>
      <c r="D133" t="s">
        <v>409</v>
      </c>
      <c r="E133" s="112">
        <v>15000000</v>
      </c>
      <c r="F133" t="s">
        <v>656</v>
      </c>
    </row>
    <row r="134" spans="1:8">
      <c r="A134">
        <v>46</v>
      </c>
      <c r="B134" s="231" t="s">
        <v>669</v>
      </c>
      <c r="C134" t="s">
        <v>156</v>
      </c>
      <c r="D134" t="s">
        <v>410</v>
      </c>
      <c r="E134" s="112">
        <v>15000000</v>
      </c>
      <c r="F134" t="s">
        <v>656</v>
      </c>
    </row>
    <row r="135" spans="1:8">
      <c r="A135">
        <v>50</v>
      </c>
      <c r="B135" s="231">
        <v>2773</v>
      </c>
      <c r="C135" t="s">
        <v>156</v>
      </c>
      <c r="D135" t="s">
        <v>411</v>
      </c>
      <c r="E135" s="112">
        <v>15000000</v>
      </c>
      <c r="F135" t="s">
        <v>658</v>
      </c>
    </row>
    <row r="136" spans="1:8">
      <c r="A136">
        <v>52</v>
      </c>
      <c r="B136" s="231" t="s">
        <v>669</v>
      </c>
      <c r="C136" t="s">
        <v>38</v>
      </c>
      <c r="D136" t="s">
        <v>593</v>
      </c>
      <c r="E136" s="112">
        <v>15000000</v>
      </c>
      <c r="F136" t="s">
        <v>658</v>
      </c>
    </row>
    <row r="137" spans="1:8">
      <c r="A137">
        <v>58</v>
      </c>
      <c r="B137" s="231">
        <v>2774</v>
      </c>
      <c r="C137" t="s">
        <v>265</v>
      </c>
      <c r="D137" t="s">
        <v>579</v>
      </c>
      <c r="E137" s="112">
        <v>9000000</v>
      </c>
      <c r="F137" t="s">
        <v>668</v>
      </c>
    </row>
    <row r="138" spans="1:8">
      <c r="A138">
        <v>59</v>
      </c>
      <c r="B138" s="231">
        <v>2775</v>
      </c>
      <c r="C138" t="s">
        <v>156</v>
      </c>
      <c r="D138" t="s">
        <v>412</v>
      </c>
      <c r="E138" s="112">
        <v>15000000</v>
      </c>
      <c r="F138" t="s">
        <v>668</v>
      </c>
    </row>
    <row r="139" spans="1:8">
      <c r="A139">
        <v>64</v>
      </c>
      <c r="B139" s="231">
        <v>2776</v>
      </c>
      <c r="C139" t="s">
        <v>156</v>
      </c>
      <c r="D139" t="s">
        <v>413</v>
      </c>
      <c r="E139" s="112">
        <v>13300000</v>
      </c>
      <c r="F139" t="s">
        <v>658</v>
      </c>
    </row>
    <row r="140" spans="1:8">
      <c r="A140">
        <v>73</v>
      </c>
      <c r="B140" s="231">
        <v>2777</v>
      </c>
      <c r="C140" t="s">
        <v>156</v>
      </c>
      <c r="D140" t="s">
        <v>415</v>
      </c>
      <c r="E140" s="112">
        <v>15000000</v>
      </c>
      <c r="F140" t="s">
        <v>668</v>
      </c>
      <c r="H140" s="112"/>
    </row>
    <row r="141" spans="1:8">
      <c r="A141">
        <v>82</v>
      </c>
      <c r="B141" s="231">
        <v>2778</v>
      </c>
      <c r="C141" t="s">
        <v>156</v>
      </c>
      <c r="D141" t="s">
        <v>725</v>
      </c>
      <c r="E141" s="112">
        <v>15000000</v>
      </c>
      <c r="F141" t="s">
        <v>668</v>
      </c>
      <c r="H141" s="112"/>
    </row>
    <row r="142" spans="1:8">
      <c r="A142">
        <v>83</v>
      </c>
      <c r="B142" s="231" t="s">
        <v>669</v>
      </c>
      <c r="C142" t="s">
        <v>38</v>
      </c>
      <c r="D142" t="s">
        <v>594</v>
      </c>
      <c r="E142" s="112">
        <v>10547000</v>
      </c>
      <c r="F142" t="s">
        <v>658</v>
      </c>
    </row>
    <row r="143" spans="1:8">
      <c r="A143">
        <v>85</v>
      </c>
      <c r="B143" s="231" t="s">
        <v>669</v>
      </c>
      <c r="C143" t="s">
        <v>156</v>
      </c>
      <c r="D143" t="s">
        <v>416</v>
      </c>
      <c r="E143" s="112">
        <v>12200000</v>
      </c>
      <c r="F143" t="s">
        <v>658</v>
      </c>
    </row>
    <row r="144" spans="1:8">
      <c r="A144">
        <v>88</v>
      </c>
      <c r="B144" s="231" t="s">
        <v>669</v>
      </c>
      <c r="C144" t="s">
        <v>156</v>
      </c>
      <c r="D144" t="s">
        <v>417</v>
      </c>
      <c r="E144" s="112">
        <v>12200000</v>
      </c>
      <c r="F144" t="s">
        <v>658</v>
      </c>
    </row>
    <row r="145" spans="1:8">
      <c r="A145">
        <v>89</v>
      </c>
      <c r="B145" s="231" t="s">
        <v>669</v>
      </c>
      <c r="C145" t="s">
        <v>250</v>
      </c>
      <c r="D145" t="s">
        <v>706</v>
      </c>
      <c r="E145" s="112">
        <v>15000000</v>
      </c>
      <c r="F145" t="s">
        <v>658</v>
      </c>
    </row>
    <row r="146" spans="1:8">
      <c r="A146">
        <v>90</v>
      </c>
      <c r="C146" t="s">
        <v>64</v>
      </c>
      <c r="D146" t="s">
        <v>596</v>
      </c>
      <c r="E146" s="112">
        <v>14000000</v>
      </c>
      <c r="F146" t="s">
        <v>656</v>
      </c>
    </row>
    <row r="147" spans="1:8">
      <c r="A147">
        <v>91</v>
      </c>
      <c r="B147" s="231">
        <v>2779</v>
      </c>
      <c r="C147" t="s">
        <v>156</v>
      </c>
      <c r="D147" t="s">
        <v>707</v>
      </c>
      <c r="E147" s="112">
        <v>10000000</v>
      </c>
      <c r="F147" t="s">
        <v>657</v>
      </c>
    </row>
    <row r="148" spans="1:8">
      <c r="A148">
        <v>92</v>
      </c>
      <c r="B148" s="231" t="s">
        <v>669</v>
      </c>
      <c r="C148" t="s">
        <v>156</v>
      </c>
      <c r="D148" t="s">
        <v>418</v>
      </c>
      <c r="E148" s="112">
        <v>13100000</v>
      </c>
      <c r="F148" t="s">
        <v>658</v>
      </c>
    </row>
    <row r="149" spans="1:8">
      <c r="A149">
        <v>95</v>
      </c>
      <c r="B149" s="231" t="s">
        <v>669</v>
      </c>
      <c r="C149" t="s">
        <v>156</v>
      </c>
      <c r="D149" t="s">
        <v>419</v>
      </c>
      <c r="E149" s="112">
        <v>15000000</v>
      </c>
      <c r="F149" t="s">
        <v>656</v>
      </c>
    </row>
    <row r="150" spans="1:8">
      <c r="A150">
        <v>96</v>
      </c>
      <c r="B150" s="231" t="s">
        <v>669</v>
      </c>
      <c r="C150" t="s">
        <v>156</v>
      </c>
      <c r="D150" t="s">
        <v>420</v>
      </c>
      <c r="E150" s="112">
        <v>15000000</v>
      </c>
      <c r="F150" t="s">
        <v>656</v>
      </c>
    </row>
    <row r="151" spans="1:8">
      <c r="A151">
        <v>97</v>
      </c>
      <c r="B151" s="231">
        <v>2780</v>
      </c>
      <c r="C151" t="s">
        <v>78</v>
      </c>
      <c r="D151" t="s">
        <v>513</v>
      </c>
      <c r="E151" s="112">
        <v>11000000</v>
      </c>
      <c r="F151" t="s">
        <v>657</v>
      </c>
    </row>
    <row r="152" spans="1:8">
      <c r="A152">
        <v>103</v>
      </c>
      <c r="B152" s="231" t="s">
        <v>669</v>
      </c>
      <c r="C152" t="s">
        <v>156</v>
      </c>
      <c r="D152" t="s">
        <v>421</v>
      </c>
      <c r="E152" s="112">
        <v>13800000</v>
      </c>
      <c r="F152" t="s">
        <v>656</v>
      </c>
    </row>
    <row r="153" spans="1:8">
      <c r="A153">
        <v>106</v>
      </c>
      <c r="B153" s="231" t="s">
        <v>669</v>
      </c>
      <c r="C153" t="s">
        <v>265</v>
      </c>
      <c r="D153" t="s">
        <v>580</v>
      </c>
      <c r="E153" s="112">
        <v>13300000</v>
      </c>
      <c r="F153" t="s">
        <v>658</v>
      </c>
    </row>
    <row r="154" spans="1:8">
      <c r="A154">
        <v>109</v>
      </c>
      <c r="B154" s="231" t="s">
        <v>669</v>
      </c>
      <c r="C154" t="s">
        <v>156</v>
      </c>
      <c r="D154" t="s">
        <v>422</v>
      </c>
      <c r="E154" s="112">
        <v>15000000</v>
      </c>
      <c r="F154" t="s">
        <v>658</v>
      </c>
    </row>
    <row r="155" spans="1:8">
      <c r="A155">
        <v>114</v>
      </c>
      <c r="B155" s="231">
        <v>2781</v>
      </c>
      <c r="C155" t="s">
        <v>156</v>
      </c>
      <c r="D155" t="s">
        <v>424</v>
      </c>
      <c r="E155" s="112">
        <v>15000000</v>
      </c>
      <c r="F155" t="s">
        <v>657</v>
      </c>
      <c r="H155" s="112"/>
    </row>
    <row r="156" spans="1:8">
      <c r="A156">
        <v>121</v>
      </c>
      <c r="B156" s="231">
        <v>2783</v>
      </c>
      <c r="C156" t="s">
        <v>156</v>
      </c>
      <c r="D156" t="s">
        <v>425</v>
      </c>
      <c r="E156" s="112">
        <v>14900000</v>
      </c>
      <c r="F156" t="s">
        <v>658</v>
      </c>
    </row>
    <row r="157" spans="1:8" s="142" customFormat="1">
      <c r="A157" s="142">
        <v>122</v>
      </c>
      <c r="B157" s="231">
        <v>2784</v>
      </c>
      <c r="C157" s="142" t="s">
        <v>156</v>
      </c>
      <c r="D157" s="142" t="s">
        <v>426</v>
      </c>
      <c r="E157" s="143">
        <v>15000000</v>
      </c>
      <c r="F157" s="142" t="s">
        <v>658</v>
      </c>
    </row>
    <row r="158" spans="1:8">
      <c r="A158">
        <v>128</v>
      </c>
      <c r="B158" s="231">
        <v>2782</v>
      </c>
      <c r="C158" t="s">
        <v>265</v>
      </c>
      <c r="D158" t="s">
        <v>581</v>
      </c>
      <c r="E158" s="112">
        <v>13500000</v>
      </c>
      <c r="F158" s="142" t="s">
        <v>657</v>
      </c>
    </row>
    <row r="159" spans="1:8">
      <c r="A159">
        <v>130</v>
      </c>
      <c r="B159" s="231" t="s">
        <v>669</v>
      </c>
      <c r="C159" t="s">
        <v>156</v>
      </c>
      <c r="D159" t="s">
        <v>427</v>
      </c>
      <c r="E159" s="112">
        <v>15000000</v>
      </c>
      <c r="F159" t="s">
        <v>658</v>
      </c>
    </row>
    <row r="160" spans="1:8">
      <c r="A160">
        <v>135</v>
      </c>
      <c r="B160" s="231" t="s">
        <v>669</v>
      </c>
      <c r="C160" t="s">
        <v>156</v>
      </c>
      <c r="D160" t="s">
        <v>428</v>
      </c>
      <c r="E160" s="112">
        <v>15000000</v>
      </c>
      <c r="F160" t="s">
        <v>658</v>
      </c>
    </row>
    <row r="161" spans="1:8">
      <c r="A161">
        <v>146</v>
      </c>
      <c r="B161" s="231" t="s">
        <v>669</v>
      </c>
      <c r="C161" t="s">
        <v>156</v>
      </c>
      <c r="D161" t="s">
        <v>429</v>
      </c>
      <c r="E161" s="112">
        <v>14800000</v>
      </c>
      <c r="F161" t="s">
        <v>656</v>
      </c>
    </row>
    <row r="162" spans="1:8">
      <c r="A162">
        <v>147</v>
      </c>
      <c r="B162" s="231" t="s">
        <v>669</v>
      </c>
      <c r="C162" t="s">
        <v>250</v>
      </c>
      <c r="D162" t="s">
        <v>599</v>
      </c>
      <c r="E162" s="112">
        <v>15000000</v>
      </c>
      <c r="F162" t="s">
        <v>658</v>
      </c>
    </row>
    <row r="163" spans="1:8">
      <c r="A163">
        <v>148</v>
      </c>
      <c r="B163" s="231" t="s">
        <v>669</v>
      </c>
      <c r="C163" t="s">
        <v>156</v>
      </c>
      <c r="D163" t="s">
        <v>430</v>
      </c>
      <c r="E163" s="112">
        <v>15000000</v>
      </c>
      <c r="F163" t="s">
        <v>658</v>
      </c>
    </row>
    <row r="164" spans="1:8">
      <c r="A164">
        <v>149</v>
      </c>
      <c r="B164" s="231" t="s">
        <v>669</v>
      </c>
      <c r="C164" t="s">
        <v>156</v>
      </c>
      <c r="D164" t="s">
        <v>431</v>
      </c>
      <c r="E164" s="112">
        <v>15000000</v>
      </c>
      <c r="F164" t="s">
        <v>658</v>
      </c>
    </row>
    <row r="165" spans="1:8">
      <c r="A165">
        <v>155</v>
      </c>
      <c r="B165" s="231" t="s">
        <v>669</v>
      </c>
      <c r="C165" t="s">
        <v>156</v>
      </c>
      <c r="D165" t="s">
        <v>432</v>
      </c>
      <c r="E165" s="112">
        <v>15000000</v>
      </c>
      <c r="F165" t="s">
        <v>656</v>
      </c>
      <c r="H165" s="112"/>
    </row>
    <row r="166" spans="1:8">
      <c r="A166">
        <v>158</v>
      </c>
      <c r="B166" s="231" t="s">
        <v>669</v>
      </c>
      <c r="C166" t="s">
        <v>38</v>
      </c>
      <c r="D166" t="s">
        <v>600</v>
      </c>
      <c r="E166" s="112">
        <v>15000000</v>
      </c>
      <c r="F166" t="s">
        <v>656</v>
      </c>
    </row>
    <row r="167" spans="1:8">
      <c r="A167">
        <v>159</v>
      </c>
      <c r="B167" s="231" t="s">
        <v>669</v>
      </c>
      <c r="C167" t="s">
        <v>156</v>
      </c>
      <c r="D167" t="s">
        <v>433</v>
      </c>
      <c r="E167" s="112">
        <v>15000000</v>
      </c>
      <c r="F167" t="s">
        <v>658</v>
      </c>
    </row>
    <row r="168" spans="1:8">
      <c r="A168">
        <v>162</v>
      </c>
      <c r="B168" s="231" t="s">
        <v>669</v>
      </c>
      <c r="C168" t="s">
        <v>156</v>
      </c>
      <c r="D168" t="s">
        <v>435</v>
      </c>
      <c r="E168" s="112">
        <v>14200000</v>
      </c>
      <c r="F168" t="s">
        <v>658</v>
      </c>
    </row>
    <row r="169" spans="1:8">
      <c r="A169">
        <v>165</v>
      </c>
      <c r="B169" s="231" t="s">
        <v>669</v>
      </c>
      <c r="C169" t="s">
        <v>156</v>
      </c>
      <c r="D169" t="s">
        <v>436</v>
      </c>
      <c r="E169" s="112">
        <v>14200000</v>
      </c>
      <c r="F169" t="s">
        <v>656</v>
      </c>
    </row>
    <row r="170" spans="1:8">
      <c r="A170">
        <v>167</v>
      </c>
      <c r="B170" s="231">
        <v>2785</v>
      </c>
      <c r="C170" t="s">
        <v>156</v>
      </c>
      <c r="D170" t="s">
        <v>437</v>
      </c>
      <c r="E170" s="112">
        <v>13700000</v>
      </c>
      <c r="F170" t="s">
        <v>657</v>
      </c>
    </row>
    <row r="171" spans="1:8">
      <c r="A171">
        <v>172</v>
      </c>
      <c r="B171" s="231" t="s">
        <v>669</v>
      </c>
      <c r="C171" t="s">
        <v>36</v>
      </c>
      <c r="D171" t="s">
        <v>582</v>
      </c>
      <c r="E171" s="112">
        <v>15000000</v>
      </c>
      <c r="F171" t="s">
        <v>658</v>
      </c>
    </row>
    <row r="172" spans="1:8">
      <c r="A172">
        <v>175</v>
      </c>
      <c r="B172" s="231">
        <v>2787</v>
      </c>
      <c r="C172" t="s">
        <v>156</v>
      </c>
      <c r="D172" t="s">
        <v>438</v>
      </c>
      <c r="E172" s="112">
        <v>14000000</v>
      </c>
      <c r="F172" t="s">
        <v>658</v>
      </c>
    </row>
    <row r="173" spans="1:8">
      <c r="A173">
        <v>176</v>
      </c>
      <c r="B173" s="231" t="s">
        <v>669</v>
      </c>
      <c r="C173" t="s">
        <v>156</v>
      </c>
      <c r="D173" t="s">
        <v>439</v>
      </c>
      <c r="E173" s="112">
        <v>14700000</v>
      </c>
      <c r="F173" t="s">
        <v>658</v>
      </c>
    </row>
    <row r="174" spans="1:8">
      <c r="A174">
        <v>180</v>
      </c>
      <c r="B174" s="231">
        <v>2788</v>
      </c>
      <c r="C174" t="s">
        <v>38</v>
      </c>
      <c r="D174" t="s">
        <v>601</v>
      </c>
      <c r="E174" s="112">
        <v>15000000</v>
      </c>
      <c r="F174" t="s">
        <v>657</v>
      </c>
    </row>
    <row r="175" spans="1:8">
      <c r="A175">
        <v>184</v>
      </c>
      <c r="B175" s="231" t="s">
        <v>669</v>
      </c>
      <c r="C175" t="s">
        <v>156</v>
      </c>
      <c r="D175" t="s">
        <v>440</v>
      </c>
      <c r="E175" s="112">
        <v>15000000</v>
      </c>
      <c r="F175" t="s">
        <v>658</v>
      </c>
    </row>
    <row r="176" spans="1:8">
      <c r="A176">
        <v>187</v>
      </c>
      <c r="B176" s="231" t="s">
        <v>669</v>
      </c>
      <c r="C176" t="s">
        <v>156</v>
      </c>
      <c r="D176" t="s">
        <v>441</v>
      </c>
      <c r="E176" s="112">
        <v>15000000</v>
      </c>
      <c r="F176" t="s">
        <v>656</v>
      </c>
      <c r="H176" s="112"/>
    </row>
    <row r="177" spans="1:8">
      <c r="A177">
        <v>192</v>
      </c>
      <c r="B177" s="231" t="s">
        <v>669</v>
      </c>
      <c r="C177" t="s">
        <v>156</v>
      </c>
      <c r="D177" t="s">
        <v>443</v>
      </c>
      <c r="E177" s="112">
        <v>15000000</v>
      </c>
      <c r="F177" t="s">
        <v>656</v>
      </c>
    </row>
    <row r="178" spans="1:8">
      <c r="A178">
        <v>193</v>
      </c>
      <c r="B178" s="231">
        <v>2789</v>
      </c>
      <c r="C178" t="s">
        <v>250</v>
      </c>
      <c r="D178" t="s">
        <v>602</v>
      </c>
      <c r="E178" s="112">
        <v>15000000</v>
      </c>
      <c r="F178" t="s">
        <v>657</v>
      </c>
    </row>
    <row r="179" spans="1:8">
      <c r="A179">
        <v>199</v>
      </c>
      <c r="B179" s="231" t="s">
        <v>669</v>
      </c>
      <c r="C179" t="s">
        <v>156</v>
      </c>
      <c r="D179" t="s">
        <v>444</v>
      </c>
      <c r="E179" s="112">
        <v>15000000</v>
      </c>
      <c r="F179" t="s">
        <v>656</v>
      </c>
    </row>
    <row r="180" spans="1:8">
      <c r="A180">
        <v>200</v>
      </c>
      <c r="B180" s="231" t="s">
        <v>669</v>
      </c>
      <c r="C180" t="s">
        <v>156</v>
      </c>
      <c r="D180" t="s">
        <v>445</v>
      </c>
      <c r="E180" s="112">
        <v>15000000</v>
      </c>
      <c r="F180" t="s">
        <v>658</v>
      </c>
      <c r="H180" s="112"/>
    </row>
    <row r="181" spans="1:8">
      <c r="A181">
        <v>202</v>
      </c>
      <c r="B181" s="231" t="s">
        <v>669</v>
      </c>
      <c r="C181" t="s">
        <v>156</v>
      </c>
      <c r="D181" t="s">
        <v>446</v>
      </c>
      <c r="E181" s="112">
        <v>15000000</v>
      </c>
      <c r="F181" t="s">
        <v>656</v>
      </c>
    </row>
    <row r="182" spans="1:8">
      <c r="A182">
        <v>204</v>
      </c>
      <c r="B182" s="231" t="s">
        <v>669</v>
      </c>
      <c r="C182" t="s">
        <v>156</v>
      </c>
      <c r="D182" t="s">
        <v>447</v>
      </c>
      <c r="E182" s="112">
        <v>14800000</v>
      </c>
      <c r="F182" t="s">
        <v>656</v>
      </c>
      <c r="H182" s="112"/>
    </row>
    <row r="183" spans="1:8">
      <c r="A183">
        <v>207</v>
      </c>
      <c r="B183" s="231">
        <v>2790</v>
      </c>
      <c r="C183" t="s">
        <v>156</v>
      </c>
      <c r="D183" t="s">
        <v>448</v>
      </c>
      <c r="E183" s="112">
        <v>15000000</v>
      </c>
      <c r="F183" t="s">
        <v>657</v>
      </c>
    </row>
    <row r="184" spans="1:8">
      <c r="A184">
        <v>209</v>
      </c>
      <c r="B184" s="231" t="s">
        <v>669</v>
      </c>
      <c r="C184" t="s">
        <v>156</v>
      </c>
      <c r="D184" t="s">
        <v>449</v>
      </c>
      <c r="E184" s="112">
        <v>15000000</v>
      </c>
      <c r="F184" t="s">
        <v>656</v>
      </c>
    </row>
    <row r="185" spans="1:8">
      <c r="A185">
        <v>214</v>
      </c>
      <c r="B185" s="231" t="s">
        <v>669</v>
      </c>
      <c r="C185" t="s">
        <v>156</v>
      </c>
      <c r="D185" t="s">
        <v>451</v>
      </c>
      <c r="E185" s="112">
        <v>11000000</v>
      </c>
      <c r="F185" t="s">
        <v>656</v>
      </c>
    </row>
    <row r="186" spans="1:8">
      <c r="A186">
        <v>221</v>
      </c>
      <c r="B186" s="231" t="s">
        <v>669</v>
      </c>
      <c r="C186" t="s">
        <v>156</v>
      </c>
      <c r="D186" t="s">
        <v>452</v>
      </c>
      <c r="E186" s="112">
        <v>11600000</v>
      </c>
      <c r="F186" t="s">
        <v>656</v>
      </c>
    </row>
    <row r="187" spans="1:8">
      <c r="A187" s="230">
        <v>222</v>
      </c>
      <c r="B187" s="1">
        <v>2791</v>
      </c>
      <c r="C187" s="267" t="s">
        <v>196</v>
      </c>
      <c r="D187" s="48" t="s">
        <v>713</v>
      </c>
      <c r="E187" s="112">
        <v>35000000</v>
      </c>
      <c r="F187" s="269" t="s">
        <v>657</v>
      </c>
    </row>
    <row r="188" spans="1:8">
      <c r="A188">
        <v>225</v>
      </c>
      <c r="B188" s="231">
        <v>2792</v>
      </c>
      <c r="C188" t="s">
        <v>36</v>
      </c>
      <c r="D188" t="s">
        <v>583</v>
      </c>
      <c r="E188" s="112">
        <v>11500000</v>
      </c>
      <c r="F188" t="s">
        <v>657</v>
      </c>
    </row>
    <row r="189" spans="1:8">
      <c r="A189">
        <v>228</v>
      </c>
      <c r="B189" s="231">
        <v>2793</v>
      </c>
      <c r="C189" t="s">
        <v>156</v>
      </c>
      <c r="D189" t="s">
        <v>453</v>
      </c>
      <c r="E189" s="112">
        <v>15000000</v>
      </c>
      <c r="F189" t="s">
        <v>657</v>
      </c>
      <c r="H189" s="112"/>
    </row>
    <row r="190" spans="1:8">
      <c r="A190">
        <v>235</v>
      </c>
      <c r="B190" s="231" t="s">
        <v>669</v>
      </c>
      <c r="C190" t="s">
        <v>156</v>
      </c>
      <c r="D190" t="s">
        <v>454</v>
      </c>
      <c r="E190" s="112">
        <v>15000000</v>
      </c>
      <c r="F190" t="s">
        <v>656</v>
      </c>
    </row>
    <row r="191" spans="1:8">
      <c r="A191">
        <v>240</v>
      </c>
      <c r="B191" s="231" t="s">
        <v>669</v>
      </c>
      <c r="C191" t="s">
        <v>156</v>
      </c>
      <c r="D191" t="s">
        <v>455</v>
      </c>
      <c r="E191" s="112">
        <v>15000000</v>
      </c>
      <c r="F191" t="s">
        <v>656</v>
      </c>
      <c r="H191" s="112"/>
    </row>
    <row r="192" spans="1:8">
      <c r="A192">
        <v>246</v>
      </c>
      <c r="B192" s="231" t="s">
        <v>669</v>
      </c>
      <c r="C192" t="s">
        <v>156</v>
      </c>
      <c r="D192" t="s">
        <v>456</v>
      </c>
      <c r="E192" s="112">
        <v>15000000</v>
      </c>
      <c r="F192" t="s">
        <v>656</v>
      </c>
    </row>
    <row r="193" spans="1:8">
      <c r="A193">
        <v>247</v>
      </c>
      <c r="B193" s="231" t="s">
        <v>669</v>
      </c>
      <c r="C193" t="s">
        <v>156</v>
      </c>
      <c r="D193" t="s">
        <v>458</v>
      </c>
      <c r="E193" s="112">
        <v>11900000</v>
      </c>
      <c r="F193" t="s">
        <v>656</v>
      </c>
    </row>
    <row r="194" spans="1:8">
      <c r="A194">
        <v>254</v>
      </c>
      <c r="B194" s="231" t="s">
        <v>669</v>
      </c>
      <c r="C194" t="s">
        <v>156</v>
      </c>
      <c r="D194" t="s">
        <v>459</v>
      </c>
      <c r="E194" s="112">
        <v>7000000</v>
      </c>
      <c r="F194" t="s">
        <v>656</v>
      </c>
    </row>
    <row r="195" spans="1:8">
      <c r="A195">
        <v>257</v>
      </c>
      <c r="B195" s="231" t="s">
        <v>669</v>
      </c>
      <c r="C195" t="s">
        <v>156</v>
      </c>
      <c r="D195" t="s">
        <v>460</v>
      </c>
      <c r="E195" s="112">
        <v>15000000</v>
      </c>
      <c r="F195" t="s">
        <v>656</v>
      </c>
      <c r="H195" s="112"/>
    </row>
    <row r="196" spans="1:8">
      <c r="A196">
        <v>259</v>
      </c>
      <c r="B196" s="231" t="s">
        <v>669</v>
      </c>
      <c r="C196" t="s">
        <v>156</v>
      </c>
      <c r="D196" t="s">
        <v>461</v>
      </c>
      <c r="E196" s="112">
        <v>10000000</v>
      </c>
    </row>
    <row r="197" spans="1:8">
      <c r="A197">
        <v>260</v>
      </c>
      <c r="B197" s="231" t="s">
        <v>669</v>
      </c>
      <c r="C197" t="s">
        <v>156</v>
      </c>
      <c r="D197" t="s">
        <v>462</v>
      </c>
      <c r="E197" s="112">
        <v>11000000</v>
      </c>
    </row>
    <row r="198" spans="1:8">
      <c r="A198">
        <v>262</v>
      </c>
      <c r="B198" s="231">
        <v>2794</v>
      </c>
      <c r="C198" t="s">
        <v>265</v>
      </c>
      <c r="D198" t="s">
        <v>584</v>
      </c>
      <c r="E198" s="112">
        <v>11000000</v>
      </c>
      <c r="F198" t="s">
        <v>657</v>
      </c>
    </row>
    <row r="199" spans="1:8">
      <c r="A199">
        <v>264</v>
      </c>
      <c r="C199" t="s">
        <v>156</v>
      </c>
      <c r="D199" t="s">
        <v>464</v>
      </c>
      <c r="E199" s="112">
        <v>15000000</v>
      </c>
    </row>
    <row r="200" spans="1:8">
      <c r="A200">
        <v>265</v>
      </c>
      <c r="C200" t="s">
        <v>156</v>
      </c>
      <c r="D200" t="s">
        <v>465</v>
      </c>
      <c r="E200" s="112">
        <v>15000000</v>
      </c>
    </row>
    <row r="201" spans="1:8">
      <c r="A201">
        <v>266</v>
      </c>
      <c r="C201" t="s">
        <v>36</v>
      </c>
      <c r="D201" t="s">
        <v>585</v>
      </c>
      <c r="E201" s="112">
        <v>13500000</v>
      </c>
    </row>
    <row r="202" spans="1:8">
      <c r="A202">
        <v>267</v>
      </c>
      <c r="C202" t="s">
        <v>265</v>
      </c>
      <c r="D202" t="s">
        <v>586</v>
      </c>
      <c r="E202" s="112">
        <v>15000000</v>
      </c>
    </row>
    <row r="203" spans="1:8">
      <c r="A203">
        <v>268</v>
      </c>
      <c r="C203" t="s">
        <v>156</v>
      </c>
      <c r="D203" t="s">
        <v>466</v>
      </c>
      <c r="E203" s="112">
        <v>10900000</v>
      </c>
    </row>
    <row r="204" spans="1:8">
      <c r="A204">
        <v>269</v>
      </c>
      <c r="C204" t="s">
        <v>156</v>
      </c>
      <c r="D204" t="s">
        <v>467</v>
      </c>
      <c r="E204" s="112">
        <v>15000000</v>
      </c>
    </row>
    <row r="205" spans="1:8">
      <c r="A205">
        <v>271</v>
      </c>
      <c r="C205" t="s">
        <v>156</v>
      </c>
      <c r="D205" t="s">
        <v>468</v>
      </c>
      <c r="E205" s="112">
        <v>15000000</v>
      </c>
    </row>
    <row r="206" spans="1:8">
      <c r="A206">
        <v>274</v>
      </c>
      <c r="C206" t="s">
        <v>156</v>
      </c>
      <c r="D206" t="s">
        <v>469</v>
      </c>
      <c r="E206" s="112">
        <v>15000000</v>
      </c>
    </row>
    <row r="207" spans="1:8">
      <c r="A207">
        <v>276</v>
      </c>
      <c r="C207" t="s">
        <v>156</v>
      </c>
      <c r="D207" t="s">
        <v>470</v>
      </c>
      <c r="E207" s="112">
        <v>15000000</v>
      </c>
    </row>
    <row r="208" spans="1:8">
      <c r="A208">
        <v>277</v>
      </c>
      <c r="C208" t="s">
        <v>78</v>
      </c>
      <c r="D208" t="s">
        <v>514</v>
      </c>
      <c r="E208" s="112">
        <v>15000000</v>
      </c>
    </row>
    <row r="209" spans="1:6">
      <c r="A209">
        <v>279</v>
      </c>
      <c r="C209" t="s">
        <v>156</v>
      </c>
      <c r="D209" t="s">
        <v>471</v>
      </c>
      <c r="E209" s="112">
        <v>13000000</v>
      </c>
    </row>
    <row r="210" spans="1:6">
      <c r="A210">
        <v>280</v>
      </c>
      <c r="C210" t="s">
        <v>156</v>
      </c>
      <c r="D210" t="s">
        <v>472</v>
      </c>
      <c r="E210" s="112">
        <v>9300000</v>
      </c>
    </row>
    <row r="211" spans="1:6">
      <c r="A211">
        <v>285</v>
      </c>
      <c r="B211" s="1" t="s">
        <v>300</v>
      </c>
      <c r="C211" t="s">
        <v>318</v>
      </c>
      <c r="D211" t="s">
        <v>326</v>
      </c>
      <c r="E211" t="s">
        <v>348</v>
      </c>
      <c r="F211" s="112">
        <v>25000000</v>
      </c>
    </row>
    <row r="212" spans="1:6" ht="11.25" customHeight="1">
      <c r="A212">
        <v>288</v>
      </c>
      <c r="C212" t="s">
        <v>156</v>
      </c>
      <c r="D212" t="s">
        <v>473</v>
      </c>
      <c r="E212" s="112">
        <v>12900000</v>
      </c>
    </row>
    <row r="213" spans="1:6">
      <c r="A213">
        <v>292</v>
      </c>
      <c r="B213" s="1" t="s">
        <v>300</v>
      </c>
      <c r="C213" t="s">
        <v>341</v>
      </c>
      <c r="D213" t="s">
        <v>342</v>
      </c>
      <c r="E213" t="s">
        <v>345</v>
      </c>
      <c r="F213" s="112">
        <v>25000000</v>
      </c>
    </row>
    <row r="215" spans="1:6">
      <c r="A215" s="130" t="s">
        <v>620</v>
      </c>
      <c r="E215" s="112"/>
    </row>
    <row r="216" spans="1:6">
      <c r="A216">
        <v>170</v>
      </c>
      <c r="B216" s="231">
        <v>2786</v>
      </c>
      <c r="C216" t="s">
        <v>250</v>
      </c>
      <c r="D216" t="s">
        <v>604</v>
      </c>
      <c r="E216" s="112">
        <v>15000000</v>
      </c>
      <c r="F216" t="s">
        <v>657</v>
      </c>
    </row>
  </sheetData>
  <phoneticPr fontId="8" type="noConversion"/>
  <pageMargins left="0.75" right="0.75" top="1" bottom="1" header="0.5" footer="0.5"/>
  <pageSetup scale="66" fitToHeight="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5"/>
  <sheetViews>
    <sheetView workbookViewId="0">
      <pane ySplit="6" topLeftCell="A7" activePane="bottomLeft" state="frozen"/>
      <selection activeCell="D20" sqref="D20"/>
      <selection pane="bottomLeft" activeCell="D7" sqref="D7"/>
    </sheetView>
  </sheetViews>
  <sheetFormatPr defaultColWidth="10.85546875" defaultRowHeight="10.5"/>
  <cols>
    <col min="1" max="1" width="8.28515625" style="1" customWidth="1"/>
    <col min="2" max="2" width="10.140625" style="1" customWidth="1"/>
    <col min="3" max="3" width="17.7109375" style="1" customWidth="1"/>
    <col min="4" max="4" width="14.7109375" style="30" customWidth="1"/>
    <col min="5" max="5" width="13.85546875" style="30" customWidth="1"/>
    <col min="6" max="6" width="13.7109375" style="1" customWidth="1"/>
    <col min="7" max="7" width="11.140625" style="1" customWidth="1"/>
    <col min="8" max="8" width="14.42578125" style="30" customWidth="1"/>
    <col min="9" max="9" width="10.140625" style="1" bestFit="1" customWidth="1"/>
    <col min="10" max="10" width="12.85546875" style="30" bestFit="1" customWidth="1"/>
    <col min="11" max="11" width="12" style="30" bestFit="1" customWidth="1"/>
    <col min="12" max="16384" width="10.85546875" style="1"/>
  </cols>
  <sheetData>
    <row r="1" spans="1:256" s="12" customFormat="1">
      <c r="A1" s="53" t="s">
        <v>84</v>
      </c>
      <c r="B1" s="27"/>
      <c r="C1" s="7">
        <v>143747294</v>
      </c>
      <c r="D1" s="36"/>
      <c r="E1" s="8"/>
      <c r="F1" s="9"/>
      <c r="G1" s="9"/>
      <c r="H1" s="8"/>
      <c r="I1" s="9"/>
      <c r="J1" s="8"/>
      <c r="K1" s="8"/>
      <c r="L1" s="41">
        <f ca="1">'SC1 MRB'!N1</f>
        <v>43335.607293981484</v>
      </c>
      <c r="M1" s="5"/>
      <c r="N1" s="5"/>
      <c r="O1" s="5"/>
      <c r="P1" s="5"/>
      <c r="Q1" s="5"/>
      <c r="R1" s="5"/>
    </row>
    <row r="2" spans="1:256" ht="11.25" thickBot="1">
      <c r="A2" s="54" t="s">
        <v>155</v>
      </c>
      <c r="B2" s="20"/>
      <c r="C2" s="25"/>
      <c r="D2" s="25"/>
      <c r="E2" s="25"/>
      <c r="F2" s="23"/>
      <c r="G2" s="23"/>
      <c r="H2" s="25"/>
      <c r="I2" s="23"/>
      <c r="J2" s="25"/>
      <c r="K2" s="25"/>
      <c r="L2" s="42"/>
      <c r="M2" s="5"/>
      <c r="N2" s="5"/>
      <c r="O2" s="5"/>
      <c r="P2" s="5"/>
      <c r="Q2" s="5"/>
      <c r="R2" s="5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s="10" customFormat="1">
      <c r="A3" s="45"/>
      <c r="B3" s="21"/>
      <c r="C3" s="20"/>
      <c r="D3" s="21"/>
      <c r="E3" s="25"/>
      <c r="F3" s="23"/>
      <c r="G3" s="23"/>
      <c r="H3" s="25"/>
      <c r="I3" s="23"/>
      <c r="J3" s="25"/>
      <c r="K3" s="25"/>
      <c r="L3" s="42"/>
      <c r="M3" s="5"/>
      <c r="N3" s="5"/>
      <c r="O3" s="5"/>
      <c r="P3" s="5"/>
      <c r="Q3" s="5"/>
      <c r="R3" s="5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</row>
    <row r="4" spans="1:256" s="5" customFormat="1">
      <c r="A4" s="45" t="s">
        <v>215</v>
      </c>
      <c r="B4" s="20" t="s">
        <v>242</v>
      </c>
      <c r="C4" s="20" t="s">
        <v>197</v>
      </c>
      <c r="D4" s="20" t="s">
        <v>151</v>
      </c>
      <c r="E4" s="22" t="s">
        <v>30</v>
      </c>
      <c r="F4" s="24" t="s">
        <v>74</v>
      </c>
      <c r="G4" s="24" t="s">
        <v>218</v>
      </c>
      <c r="H4" s="22" t="s">
        <v>19</v>
      </c>
      <c r="I4" s="24" t="s">
        <v>252</v>
      </c>
      <c r="J4" s="22" t="s">
        <v>168</v>
      </c>
      <c r="K4" s="22" t="s">
        <v>267</v>
      </c>
      <c r="L4" s="42" t="s">
        <v>148</v>
      </c>
    </row>
    <row r="5" spans="1:256" s="5" customFormat="1">
      <c r="A5" s="45" t="s">
        <v>281</v>
      </c>
      <c r="B5" s="21"/>
      <c r="C5" s="22" t="s">
        <v>282</v>
      </c>
      <c r="D5" s="22" t="s">
        <v>259</v>
      </c>
      <c r="E5" s="22" t="s">
        <v>259</v>
      </c>
      <c r="F5" s="24" t="s">
        <v>34</v>
      </c>
      <c r="G5" s="24" t="s">
        <v>102</v>
      </c>
      <c r="H5" s="22" t="s">
        <v>259</v>
      </c>
      <c r="I5" s="24" t="s">
        <v>102</v>
      </c>
      <c r="J5" s="22" t="s">
        <v>259</v>
      </c>
      <c r="K5" s="22" t="s">
        <v>259</v>
      </c>
      <c r="L5" s="42" t="s">
        <v>21</v>
      </c>
    </row>
    <row r="6" spans="1:256" s="14" customFormat="1" ht="11.25" thickBot="1">
      <c r="A6" s="46" t="s">
        <v>95</v>
      </c>
      <c r="B6" s="16"/>
      <c r="C6" s="17" t="s">
        <v>268</v>
      </c>
      <c r="D6" s="17"/>
      <c r="E6" s="17"/>
      <c r="F6" s="18"/>
      <c r="G6" s="18"/>
      <c r="H6" s="17"/>
      <c r="I6" s="18"/>
      <c r="J6" s="17"/>
      <c r="K6" s="17"/>
      <c r="L6" s="47" t="s">
        <v>34</v>
      </c>
      <c r="M6" s="5"/>
      <c r="N6" s="5"/>
      <c r="O6" s="5"/>
      <c r="P6" s="5"/>
      <c r="Q6" s="5"/>
      <c r="R6" s="5"/>
    </row>
    <row r="7" spans="1:256" s="14" customFormat="1">
      <c r="A7" s="20"/>
      <c r="B7" s="21"/>
      <c r="C7" s="22"/>
      <c r="D7" s="22"/>
      <c r="E7" s="22"/>
      <c r="F7" s="24"/>
      <c r="G7" s="24"/>
      <c r="H7" s="22"/>
      <c r="I7" s="24"/>
      <c r="J7" s="22"/>
      <c r="K7" s="22"/>
      <c r="L7" s="24"/>
      <c r="M7" s="5"/>
      <c r="N7" s="5"/>
      <c r="O7" s="5"/>
      <c r="P7" s="5"/>
      <c r="Q7" s="5"/>
      <c r="R7" s="5"/>
    </row>
    <row r="8" spans="1:256" s="49" customFormat="1">
      <c r="A8" s="21">
        <v>2651</v>
      </c>
      <c r="B8" s="1" t="s">
        <v>633</v>
      </c>
      <c r="C8" s="21" t="s">
        <v>221</v>
      </c>
      <c r="D8" s="30">
        <v>35000000</v>
      </c>
      <c r="E8" s="30">
        <v>35000000</v>
      </c>
      <c r="F8" s="3">
        <v>36161</v>
      </c>
      <c r="G8" s="3">
        <f>F8+35</f>
        <v>36196</v>
      </c>
      <c r="H8" s="30">
        <v>35000000</v>
      </c>
      <c r="I8" s="3">
        <f>F8+120</f>
        <v>36281</v>
      </c>
      <c r="J8" s="30">
        <v>35000000</v>
      </c>
      <c r="K8" s="30">
        <v>0</v>
      </c>
      <c r="L8" s="3">
        <v>36181</v>
      </c>
    </row>
    <row r="9" spans="1:256">
      <c r="A9" s="1">
        <v>2665</v>
      </c>
      <c r="B9" s="1" t="s">
        <v>633</v>
      </c>
      <c r="C9" s="1" t="s">
        <v>108</v>
      </c>
      <c r="D9" s="30">
        <v>35000000</v>
      </c>
      <c r="E9" s="30">
        <v>35000000</v>
      </c>
      <c r="F9" s="3">
        <v>36168</v>
      </c>
      <c r="G9" s="3">
        <f>F9+35</f>
        <v>36203</v>
      </c>
      <c r="H9" s="30">
        <v>35000000</v>
      </c>
      <c r="I9" s="3">
        <f>F9+120</f>
        <v>36288</v>
      </c>
      <c r="J9" s="30">
        <v>35000000</v>
      </c>
      <c r="K9" s="30">
        <v>0</v>
      </c>
      <c r="L9" s="3">
        <v>36209</v>
      </c>
    </row>
    <row r="10" spans="1:256">
      <c r="A10" s="1">
        <v>2677</v>
      </c>
      <c r="B10" s="1" t="s">
        <v>633</v>
      </c>
      <c r="C10" s="1" t="s">
        <v>235</v>
      </c>
      <c r="D10" s="30">
        <v>35000000</v>
      </c>
      <c r="E10" s="30">
        <v>35000000</v>
      </c>
      <c r="F10" s="3">
        <v>36175</v>
      </c>
      <c r="G10" s="3">
        <f>F10+35</f>
        <v>36210</v>
      </c>
      <c r="H10" s="30">
        <v>35000000</v>
      </c>
      <c r="I10" s="3">
        <f>F10+120</f>
        <v>36295</v>
      </c>
      <c r="J10" s="30">
        <v>35000000</v>
      </c>
      <c r="K10" s="30">
        <v>0</v>
      </c>
      <c r="L10" s="3">
        <v>36224</v>
      </c>
    </row>
    <row r="11" spans="1:256" s="49" customFormat="1" ht="9.75" customHeight="1">
      <c r="A11" s="21">
        <v>2688</v>
      </c>
      <c r="B11" s="1" t="s">
        <v>633</v>
      </c>
      <c r="C11" s="1" t="s">
        <v>109</v>
      </c>
      <c r="D11" s="30">
        <v>35000000</v>
      </c>
      <c r="E11" s="30">
        <v>35000000</v>
      </c>
      <c r="F11" s="3">
        <v>36183</v>
      </c>
      <c r="G11" s="3">
        <f>F11+35</f>
        <v>36218</v>
      </c>
      <c r="H11" s="30">
        <v>35000000</v>
      </c>
      <c r="I11" s="3">
        <f>F11+120</f>
        <v>36303</v>
      </c>
      <c r="J11" s="30">
        <v>35000000</v>
      </c>
      <c r="K11" s="30">
        <v>0</v>
      </c>
      <c r="L11" s="3">
        <v>36244</v>
      </c>
    </row>
    <row r="12" spans="1:256" s="49" customFormat="1">
      <c r="A12" s="21">
        <v>2793</v>
      </c>
      <c r="B12" s="1" t="s">
        <v>633</v>
      </c>
      <c r="C12" s="21" t="s">
        <v>196</v>
      </c>
      <c r="D12" s="30">
        <v>35000000</v>
      </c>
      <c r="E12" s="30">
        <v>35000000</v>
      </c>
      <c r="F12" s="3">
        <v>36481</v>
      </c>
      <c r="G12" s="3">
        <f>F12+35</f>
        <v>36516</v>
      </c>
      <c r="H12" s="30">
        <v>35000000</v>
      </c>
      <c r="I12" s="3">
        <f>F12+120</f>
        <v>36601</v>
      </c>
      <c r="J12" s="30">
        <v>35000000</v>
      </c>
      <c r="K12" s="30">
        <v>0</v>
      </c>
      <c r="L12" s="3">
        <v>36566</v>
      </c>
    </row>
    <row r="13" spans="1:256" s="26" customFormat="1" ht="11.25" thickBot="1">
      <c r="A13" s="21"/>
      <c r="B13" s="21"/>
      <c r="C13" s="21"/>
      <c r="D13" s="28"/>
      <c r="E13" s="28"/>
      <c r="F13" s="3"/>
      <c r="G13" s="3"/>
      <c r="H13" s="28"/>
      <c r="I13" s="3"/>
      <c r="J13" s="28"/>
      <c r="K13" s="28"/>
      <c r="L13" s="4"/>
    </row>
    <row r="14" spans="1:256" s="26" customFormat="1">
      <c r="A14" s="21"/>
      <c r="B14" s="21"/>
      <c r="C14" s="21"/>
      <c r="D14" s="25"/>
      <c r="E14" s="25"/>
      <c r="F14" s="3"/>
      <c r="G14" s="3"/>
      <c r="H14" s="25"/>
      <c r="I14" s="3"/>
      <c r="J14" s="25"/>
      <c r="K14" s="25"/>
      <c r="L14" s="4"/>
    </row>
    <row r="15" spans="1:256" s="26" customFormat="1">
      <c r="A15" s="1"/>
      <c r="B15" s="1"/>
      <c r="C15" s="12" t="s">
        <v>103</v>
      </c>
      <c r="D15" s="37">
        <f>SUM(D8:D12)</f>
        <v>175000000</v>
      </c>
      <c r="E15" s="37">
        <f>SUM(E8:E12)</f>
        <v>175000000</v>
      </c>
      <c r="F15" s="3"/>
      <c r="G15" s="3"/>
      <c r="H15" s="37">
        <f>SUM(H8:H12)</f>
        <v>175000000</v>
      </c>
      <c r="I15" s="3"/>
      <c r="J15" s="37">
        <f>SUM(J8:J12)</f>
        <v>175000000</v>
      </c>
      <c r="K15" s="37">
        <f>SUM(K9:K12)</f>
        <v>0</v>
      </c>
      <c r="L15" s="4"/>
    </row>
    <row r="16" spans="1:256">
      <c r="C16" s="12"/>
      <c r="D16" s="2"/>
      <c r="E16" s="2"/>
      <c r="F16" s="3"/>
      <c r="G16" s="3"/>
      <c r="H16" s="2"/>
      <c r="I16" s="3"/>
      <c r="J16" s="2"/>
      <c r="K16" s="2"/>
      <c r="L16" s="4"/>
      <c r="M16" s="5"/>
      <c r="N16" s="5"/>
      <c r="O16" s="5"/>
      <c r="P16" s="5"/>
      <c r="Q16" s="5"/>
      <c r="R16" s="5"/>
    </row>
    <row r="17" spans="1:18">
      <c r="A17" s="12"/>
      <c r="B17" s="12"/>
      <c r="C17" s="12" t="s">
        <v>264</v>
      </c>
      <c r="D17" s="30">
        <f>SUM(D15-E15)</f>
        <v>0</v>
      </c>
      <c r="E17" s="13"/>
      <c r="F17" s="4"/>
      <c r="G17" s="4"/>
      <c r="H17" s="13"/>
      <c r="I17" s="4"/>
      <c r="J17" s="13"/>
      <c r="K17" s="13"/>
      <c r="L17" s="4"/>
      <c r="M17" s="5"/>
      <c r="N17" s="5"/>
      <c r="O17" s="5"/>
      <c r="P17" s="5"/>
      <c r="Q17" s="5"/>
      <c r="R17" s="5"/>
    </row>
    <row r="18" spans="1:18">
      <c r="A18" s="12"/>
      <c r="B18" s="12"/>
      <c r="C18" s="12"/>
      <c r="D18" s="2"/>
      <c r="E18" s="13"/>
      <c r="F18" s="4"/>
      <c r="G18" s="4"/>
      <c r="H18" s="13"/>
      <c r="I18" s="4"/>
      <c r="J18" s="13"/>
      <c r="K18" s="13"/>
      <c r="L18" s="4"/>
      <c r="M18" s="5"/>
      <c r="N18" s="5"/>
      <c r="O18" s="5"/>
      <c r="P18" s="5"/>
      <c r="Q18" s="5"/>
      <c r="R18" s="5"/>
    </row>
    <row r="19" spans="1:18">
      <c r="A19" s="12"/>
      <c r="B19" s="12"/>
      <c r="C19" s="12" t="s">
        <v>37</v>
      </c>
      <c r="D19" s="30">
        <f>C1-E15+K15</f>
        <v>-31252706</v>
      </c>
      <c r="K19" s="13"/>
      <c r="L19" s="4"/>
      <c r="M19" s="5"/>
      <c r="N19" s="5"/>
      <c r="O19" s="5"/>
      <c r="P19" s="5"/>
      <c r="Q19" s="5"/>
      <c r="R19" s="5"/>
    </row>
    <row r="21" spans="1:18">
      <c r="C21" s="12"/>
      <c r="E21" s="385"/>
      <c r="F21" s="385"/>
      <c r="G21" s="385"/>
      <c r="H21" s="385"/>
      <c r="I21" s="385"/>
      <c r="J21" s="385"/>
      <c r="K21" s="385"/>
      <c r="L21" s="385"/>
    </row>
    <row r="22" spans="1:18">
      <c r="E22" s="48"/>
    </row>
    <row r="23" spans="1:18">
      <c r="C23" s="12"/>
      <c r="E23" s="385"/>
      <c r="F23" s="385"/>
      <c r="G23" s="385"/>
      <c r="H23" s="385"/>
      <c r="I23" s="385"/>
      <c r="J23" s="385"/>
    </row>
    <row r="25" spans="1:18">
      <c r="A25" s="386"/>
      <c r="B25" s="386"/>
      <c r="C25" s="386"/>
      <c r="D25" s="386"/>
      <c r="E25" s="386"/>
      <c r="F25" s="386"/>
      <c r="G25" s="386"/>
      <c r="H25" s="386"/>
      <c r="I25" s="386"/>
      <c r="J25" s="386"/>
      <c r="K25" s="386"/>
      <c r="L25" s="386"/>
    </row>
  </sheetData>
  <mergeCells count="3">
    <mergeCell ref="E23:J23"/>
    <mergeCell ref="E21:L21"/>
    <mergeCell ref="A25:L25"/>
  </mergeCells>
  <phoneticPr fontId="0" type="noConversion"/>
  <pageMargins left="0.75" right="0.75" top="1" bottom="1" header="0.5" footer="0.5"/>
  <pageSetup scale="92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topLeftCell="G1" workbookViewId="0">
      <pane ySplit="6" topLeftCell="A7" activePane="bottomLeft" state="frozen"/>
      <selection activeCell="D20" sqref="D20"/>
      <selection pane="bottomLeft" activeCell="L39" sqref="L39"/>
    </sheetView>
  </sheetViews>
  <sheetFormatPr defaultColWidth="11.42578125" defaultRowHeight="12"/>
  <cols>
    <col min="1" max="1" width="11.42578125" customWidth="1"/>
    <col min="2" max="2" width="10" bestFit="1" customWidth="1"/>
    <col min="3" max="3" width="34.7109375" customWidth="1"/>
    <col min="4" max="4" width="24.28515625" customWidth="1"/>
    <col min="5" max="5" width="12" bestFit="1" customWidth="1"/>
    <col min="6" max="6" width="15" style="122" bestFit="1" customWidth="1"/>
    <col min="7" max="7" width="15" bestFit="1" customWidth="1"/>
    <col min="8" max="8" width="14.5703125" bestFit="1" customWidth="1"/>
    <col min="9" max="9" width="11.42578125" customWidth="1"/>
    <col min="10" max="10" width="12.28515625" bestFit="1" customWidth="1"/>
    <col min="11" max="11" width="10.140625" bestFit="1" customWidth="1"/>
    <col min="12" max="12" width="13.7109375" customWidth="1"/>
    <col min="13" max="13" width="16.28515625" bestFit="1" customWidth="1"/>
  </cols>
  <sheetData>
    <row r="1" spans="1:20" s="6" customFormat="1" ht="10.5">
      <c r="A1" s="53" t="s">
        <v>223</v>
      </c>
      <c r="B1" s="27"/>
      <c r="C1" s="7">
        <v>424707913</v>
      </c>
      <c r="D1" s="7"/>
      <c r="E1" s="7"/>
      <c r="F1" s="36"/>
      <c r="G1" s="100" t="s">
        <v>76</v>
      </c>
      <c r="H1" s="8">
        <f>C1-H2</f>
        <v>416213754.74000001</v>
      </c>
      <c r="I1" s="9"/>
      <c r="J1" s="36"/>
      <c r="K1" s="9"/>
      <c r="L1" s="36"/>
      <c r="M1" s="36"/>
      <c r="N1" s="41">
        <f ca="1">NOW()</f>
        <v>43335.607293981484</v>
      </c>
      <c r="O1" s="1"/>
      <c r="P1" s="1"/>
      <c r="Q1" s="1"/>
      <c r="R1" s="1"/>
      <c r="S1" s="1"/>
      <c r="T1" s="1"/>
    </row>
    <row r="2" spans="1:20" s="21" customFormat="1" ht="10.5">
      <c r="A2" s="54" t="s">
        <v>188</v>
      </c>
      <c r="B2" s="20"/>
      <c r="C2" s="22"/>
      <c r="D2" s="22"/>
      <c r="E2" s="22"/>
      <c r="F2" s="34"/>
      <c r="G2" s="103" t="s">
        <v>59</v>
      </c>
      <c r="H2" s="29">
        <f>SUM(C1*0.02)</f>
        <v>8494158.2599999998</v>
      </c>
      <c r="I2" s="23">
        <v>36021</v>
      </c>
      <c r="J2" s="34"/>
      <c r="K2" s="23"/>
      <c r="L2" s="34"/>
      <c r="M2" s="34"/>
      <c r="N2" s="42"/>
      <c r="O2" s="1"/>
      <c r="P2" s="1"/>
      <c r="Q2" s="1"/>
      <c r="R2" s="1"/>
      <c r="S2" s="1"/>
      <c r="T2" s="1"/>
    </row>
    <row r="3" spans="1:20" s="21" customFormat="1" ht="10.5">
      <c r="A3" s="54"/>
      <c r="B3" s="20"/>
      <c r="C3" s="22"/>
      <c r="D3" s="22"/>
      <c r="E3" s="22"/>
      <c r="F3" s="34"/>
      <c r="G3" s="34"/>
      <c r="H3" s="23"/>
      <c r="I3" s="23"/>
      <c r="J3" s="34"/>
      <c r="K3" s="23"/>
      <c r="L3" s="34"/>
      <c r="M3" s="34"/>
      <c r="N3" s="42"/>
      <c r="O3" s="1"/>
      <c r="P3" s="1"/>
      <c r="Q3" s="1"/>
      <c r="R3" s="1"/>
      <c r="S3" s="1"/>
      <c r="T3" s="1"/>
    </row>
    <row r="4" spans="1:20" s="12" customFormat="1" ht="10.5">
      <c r="A4" s="45" t="s">
        <v>215</v>
      </c>
      <c r="B4" s="20" t="s">
        <v>242</v>
      </c>
      <c r="C4" s="20" t="s">
        <v>197</v>
      </c>
      <c r="D4" s="22" t="s">
        <v>282</v>
      </c>
      <c r="E4" s="22" t="s">
        <v>268</v>
      </c>
      <c r="F4" s="33" t="s">
        <v>151</v>
      </c>
      <c r="G4" s="33" t="s">
        <v>30</v>
      </c>
      <c r="H4" s="24" t="s">
        <v>74</v>
      </c>
      <c r="I4" s="24" t="s">
        <v>218</v>
      </c>
      <c r="J4" s="33" t="s">
        <v>19</v>
      </c>
      <c r="K4" s="24" t="s">
        <v>252</v>
      </c>
      <c r="L4" s="33" t="s">
        <v>168</v>
      </c>
      <c r="M4" s="33" t="s">
        <v>267</v>
      </c>
      <c r="N4" s="42" t="s">
        <v>148</v>
      </c>
      <c r="O4" s="1"/>
      <c r="P4" s="1"/>
      <c r="Q4" s="1"/>
      <c r="R4" s="1"/>
      <c r="S4" s="1"/>
      <c r="T4" s="1"/>
    </row>
    <row r="5" spans="1:20" s="12" customFormat="1" ht="10.5">
      <c r="A5" s="45" t="s">
        <v>281</v>
      </c>
      <c r="B5" s="21"/>
      <c r="D5" s="22"/>
      <c r="E5" s="22"/>
      <c r="F5" s="33" t="s">
        <v>259</v>
      </c>
      <c r="G5" s="33" t="s">
        <v>259</v>
      </c>
      <c r="H5" s="24" t="s">
        <v>34</v>
      </c>
      <c r="I5" s="24" t="s">
        <v>102</v>
      </c>
      <c r="J5" s="33" t="s">
        <v>259</v>
      </c>
      <c r="K5" s="24" t="s">
        <v>102</v>
      </c>
      <c r="L5" s="33" t="s">
        <v>259</v>
      </c>
      <c r="M5" s="33" t="s">
        <v>259</v>
      </c>
      <c r="N5" s="42" t="s">
        <v>21</v>
      </c>
      <c r="O5" s="1"/>
      <c r="P5" s="1"/>
      <c r="Q5" s="1"/>
      <c r="R5" s="1"/>
      <c r="S5" s="1"/>
      <c r="T5" s="1"/>
    </row>
    <row r="6" spans="1:20" s="15" customFormat="1" ht="11.25" thickBot="1">
      <c r="A6" s="46" t="s">
        <v>95</v>
      </c>
      <c r="B6" s="16"/>
      <c r="D6" s="17"/>
      <c r="E6" s="17"/>
      <c r="F6" s="32"/>
      <c r="G6" s="32"/>
      <c r="H6" s="18"/>
      <c r="I6" s="18"/>
      <c r="J6" s="32"/>
      <c r="K6" s="18"/>
      <c r="L6" s="32"/>
      <c r="M6" s="32"/>
      <c r="N6" s="47" t="s">
        <v>34</v>
      </c>
      <c r="O6" s="1"/>
      <c r="P6" s="1"/>
      <c r="Q6" s="1"/>
      <c r="R6" s="1"/>
      <c r="S6" s="1"/>
      <c r="T6" s="1"/>
    </row>
    <row r="7" spans="1:20" s="152" customFormat="1">
      <c r="A7" s="142">
        <v>2678</v>
      </c>
      <c r="B7" s="1" t="s">
        <v>633</v>
      </c>
      <c r="C7" s="152" t="s">
        <v>310</v>
      </c>
      <c r="D7" s="152" t="s">
        <v>311</v>
      </c>
      <c r="E7" s="152" t="s">
        <v>343</v>
      </c>
      <c r="F7" s="153">
        <v>25000000</v>
      </c>
      <c r="G7" s="179">
        <v>25000000</v>
      </c>
      <c r="H7" s="162">
        <v>36175</v>
      </c>
      <c r="I7" s="162">
        <f>H7+35</f>
        <v>36210</v>
      </c>
      <c r="J7" s="163">
        <v>25000000</v>
      </c>
      <c r="K7" s="162">
        <f>H7+120</f>
        <v>36295</v>
      </c>
      <c r="L7" s="163">
        <v>19500000</v>
      </c>
      <c r="M7" s="163">
        <f>J7-L7</f>
        <v>5500000</v>
      </c>
      <c r="N7" s="154">
        <v>36260</v>
      </c>
    </row>
    <row r="8" spans="1:20" s="152" customFormat="1">
      <c r="A8" s="142">
        <v>2652</v>
      </c>
      <c r="B8" s="1" t="s">
        <v>633</v>
      </c>
      <c r="C8" s="152" t="s">
        <v>312</v>
      </c>
      <c r="D8" s="152" t="s">
        <v>313</v>
      </c>
      <c r="E8" s="152" t="s">
        <v>344</v>
      </c>
      <c r="F8" s="153">
        <v>25000000</v>
      </c>
      <c r="G8" s="179">
        <v>25000000</v>
      </c>
      <c r="H8" s="162">
        <v>36161</v>
      </c>
      <c r="I8" s="162">
        <f t="shared" ref="I8:I33" si="0">H8+35</f>
        <v>36196</v>
      </c>
      <c r="J8" s="163">
        <v>25000000</v>
      </c>
      <c r="K8" s="162">
        <f t="shared" ref="K8:K33" si="1">H8+120</f>
        <v>36281</v>
      </c>
      <c r="L8" s="163">
        <v>23000000</v>
      </c>
      <c r="M8" s="163">
        <f>J8-L8</f>
        <v>2000000</v>
      </c>
      <c r="N8" s="154">
        <v>36280</v>
      </c>
    </row>
    <row r="9" spans="1:20" s="152" customFormat="1">
      <c r="A9" s="142">
        <v>2666</v>
      </c>
      <c r="B9" s="1" t="s">
        <v>633</v>
      </c>
      <c r="C9" s="152" t="s">
        <v>314</v>
      </c>
      <c r="D9" s="152" t="s">
        <v>626</v>
      </c>
      <c r="E9" s="152" t="s">
        <v>345</v>
      </c>
      <c r="F9" s="153">
        <v>25000000</v>
      </c>
      <c r="G9" s="179">
        <v>25000000</v>
      </c>
      <c r="H9" s="162">
        <v>36168</v>
      </c>
      <c r="I9" s="162">
        <f t="shared" si="0"/>
        <v>36203</v>
      </c>
      <c r="J9" s="163">
        <v>25000000</v>
      </c>
      <c r="K9" s="162">
        <f t="shared" si="1"/>
        <v>36288</v>
      </c>
      <c r="L9" s="163">
        <v>25000000</v>
      </c>
      <c r="M9" s="163">
        <v>0</v>
      </c>
      <c r="N9" s="154">
        <v>36288</v>
      </c>
    </row>
    <row r="10" spans="1:20" s="152" customFormat="1">
      <c r="A10" s="142">
        <v>2689</v>
      </c>
      <c r="B10" s="1" t="s">
        <v>633</v>
      </c>
      <c r="C10" s="152" t="s">
        <v>312</v>
      </c>
      <c r="D10" s="152" t="s">
        <v>315</v>
      </c>
      <c r="E10" s="152" t="s">
        <v>346</v>
      </c>
      <c r="F10" s="153">
        <v>25000000</v>
      </c>
      <c r="G10" s="179">
        <v>25000000</v>
      </c>
      <c r="H10" s="162">
        <v>36183</v>
      </c>
      <c r="I10" s="162">
        <f t="shared" si="0"/>
        <v>36218</v>
      </c>
      <c r="J10" s="163">
        <v>25000000</v>
      </c>
      <c r="K10" s="162">
        <f t="shared" si="1"/>
        <v>36303</v>
      </c>
      <c r="L10" s="163">
        <v>21000000</v>
      </c>
      <c r="M10" s="163">
        <f>J10-L10</f>
        <v>4000000</v>
      </c>
      <c r="N10" s="154">
        <v>36298</v>
      </c>
    </row>
    <row r="11" spans="1:20" s="152" customFormat="1">
      <c r="A11" s="142">
        <v>2697</v>
      </c>
      <c r="B11" s="1" t="s">
        <v>633</v>
      </c>
      <c r="C11" s="152" t="s">
        <v>316</v>
      </c>
      <c r="D11" s="152" t="s">
        <v>317</v>
      </c>
      <c r="E11" s="152" t="s">
        <v>347</v>
      </c>
      <c r="F11" s="153">
        <v>15000000</v>
      </c>
      <c r="G11" s="179">
        <v>15000000</v>
      </c>
      <c r="H11" s="162">
        <v>36189</v>
      </c>
      <c r="I11" s="162">
        <f t="shared" si="0"/>
        <v>36224</v>
      </c>
      <c r="J11" s="163">
        <v>10000000</v>
      </c>
      <c r="K11" s="162">
        <f t="shared" si="1"/>
        <v>36309</v>
      </c>
      <c r="L11" s="163">
        <v>10000000</v>
      </c>
      <c r="M11" s="163">
        <v>5000000</v>
      </c>
      <c r="N11" s="154">
        <v>36299</v>
      </c>
    </row>
    <row r="12" spans="1:20" s="152" customFormat="1">
      <c r="A12" s="142">
        <v>2698</v>
      </c>
      <c r="B12" s="1" t="s">
        <v>633</v>
      </c>
      <c r="C12" s="152" t="s">
        <v>655</v>
      </c>
      <c r="D12" s="152" t="s">
        <v>319</v>
      </c>
      <c r="E12" s="152" t="s">
        <v>348</v>
      </c>
      <c r="F12" s="153">
        <v>25000000</v>
      </c>
      <c r="G12" s="179">
        <v>25000000</v>
      </c>
      <c r="H12" s="162">
        <v>36189</v>
      </c>
      <c r="I12" s="162">
        <f t="shared" si="0"/>
        <v>36224</v>
      </c>
      <c r="J12" s="163">
        <v>25000000</v>
      </c>
      <c r="K12" s="162">
        <f t="shared" si="1"/>
        <v>36309</v>
      </c>
      <c r="L12" s="163">
        <v>25000000</v>
      </c>
      <c r="M12" s="163">
        <v>0</v>
      </c>
      <c r="N12" s="154">
        <v>36288</v>
      </c>
    </row>
    <row r="13" spans="1:20" s="152" customFormat="1">
      <c r="A13" s="142">
        <v>2653</v>
      </c>
      <c r="B13" s="1" t="s">
        <v>633</v>
      </c>
      <c r="C13" s="152" t="s">
        <v>316</v>
      </c>
      <c r="D13" s="152" t="s">
        <v>320</v>
      </c>
      <c r="E13" s="152" t="s">
        <v>349</v>
      </c>
      <c r="F13" s="153">
        <v>25000000</v>
      </c>
      <c r="G13" s="179">
        <v>25000000</v>
      </c>
      <c r="H13" s="162">
        <v>36161</v>
      </c>
      <c r="I13" s="162">
        <f t="shared" si="0"/>
        <v>36196</v>
      </c>
      <c r="J13" s="163">
        <v>25000000</v>
      </c>
      <c r="K13" s="162">
        <f t="shared" si="1"/>
        <v>36281</v>
      </c>
      <c r="L13" s="163">
        <v>25000000</v>
      </c>
      <c r="M13" s="163">
        <v>0</v>
      </c>
      <c r="N13" s="154">
        <v>36259</v>
      </c>
    </row>
    <row r="14" spans="1:20" s="152" customFormat="1">
      <c r="A14" s="142">
        <v>2654</v>
      </c>
      <c r="B14" s="1" t="s">
        <v>627</v>
      </c>
      <c r="C14" s="152" t="s">
        <v>316</v>
      </c>
      <c r="D14" s="152" t="s">
        <v>321</v>
      </c>
      <c r="E14" s="152" t="s">
        <v>350</v>
      </c>
      <c r="F14" s="153">
        <v>25000000</v>
      </c>
      <c r="G14" s="179">
        <v>25000000</v>
      </c>
      <c r="H14" s="162">
        <v>36161</v>
      </c>
      <c r="I14" s="162">
        <f t="shared" si="0"/>
        <v>36196</v>
      </c>
      <c r="J14" s="163"/>
      <c r="K14" s="162">
        <f t="shared" si="1"/>
        <v>36281</v>
      </c>
      <c r="L14" s="163">
        <v>0</v>
      </c>
      <c r="M14" s="163">
        <v>25000000</v>
      </c>
      <c r="N14" s="154">
        <v>36197</v>
      </c>
    </row>
    <row r="15" spans="1:20" s="152" customFormat="1">
      <c r="A15" s="142">
        <v>2679</v>
      </c>
      <c r="B15" s="1" t="s">
        <v>633</v>
      </c>
      <c r="C15" s="152" t="s">
        <v>322</v>
      </c>
      <c r="D15" s="152" t="s">
        <v>323</v>
      </c>
      <c r="F15" s="153">
        <v>25000000</v>
      </c>
      <c r="G15" s="179">
        <v>25000000</v>
      </c>
      <c r="H15" s="162">
        <v>36175</v>
      </c>
      <c r="I15" s="162">
        <f t="shared" si="0"/>
        <v>36210</v>
      </c>
      <c r="J15" s="163">
        <v>25000000</v>
      </c>
      <c r="K15" s="162">
        <f t="shared" si="1"/>
        <v>36295</v>
      </c>
      <c r="L15" s="234">
        <v>21576662.449999999</v>
      </c>
      <c r="M15" s="234">
        <f>J15-L15</f>
        <v>3423337.5500000007</v>
      </c>
      <c r="N15" s="154">
        <v>36250</v>
      </c>
    </row>
    <row r="16" spans="1:20" s="152" customFormat="1">
      <c r="A16" s="142">
        <v>2667</v>
      </c>
      <c r="B16" s="1" t="s">
        <v>627</v>
      </c>
      <c r="C16" s="152" t="s">
        <v>324</v>
      </c>
      <c r="D16" s="152" t="s">
        <v>325</v>
      </c>
      <c r="E16" s="152" t="s">
        <v>351</v>
      </c>
      <c r="F16" s="153">
        <v>2000000</v>
      </c>
      <c r="G16" s="179">
        <v>2000000</v>
      </c>
      <c r="H16" s="162">
        <v>36168</v>
      </c>
      <c r="I16" s="162">
        <f t="shared" si="0"/>
        <v>36203</v>
      </c>
      <c r="J16" s="163">
        <v>2000000</v>
      </c>
      <c r="K16" s="162">
        <f t="shared" si="1"/>
        <v>36288</v>
      </c>
      <c r="L16" s="163">
        <v>0</v>
      </c>
      <c r="M16" s="163">
        <v>2000000</v>
      </c>
      <c r="N16" s="154">
        <v>36298</v>
      </c>
    </row>
    <row r="17" spans="1:14" s="152" customFormat="1">
      <c r="A17" s="142">
        <v>2690</v>
      </c>
      <c r="B17" s="1" t="s">
        <v>621</v>
      </c>
      <c r="C17" s="152" t="s">
        <v>318</v>
      </c>
      <c r="D17" s="152" t="s">
        <v>628</v>
      </c>
      <c r="E17" s="152" t="s">
        <v>348</v>
      </c>
      <c r="F17" s="153">
        <v>25000000</v>
      </c>
      <c r="G17" s="179">
        <v>25000000</v>
      </c>
      <c r="H17" s="162">
        <v>36183</v>
      </c>
      <c r="I17" s="162">
        <f t="shared" si="0"/>
        <v>36218</v>
      </c>
      <c r="J17" s="163">
        <v>25000000</v>
      </c>
      <c r="K17" s="162">
        <f t="shared" si="1"/>
        <v>36303</v>
      </c>
      <c r="L17" s="163">
        <v>0</v>
      </c>
      <c r="M17" s="163">
        <v>25000000</v>
      </c>
      <c r="N17" s="154">
        <v>36285</v>
      </c>
    </row>
    <row r="18" spans="1:14" s="152" customFormat="1">
      <c r="A18" s="142">
        <v>2699</v>
      </c>
      <c r="B18" s="1" t="s">
        <v>633</v>
      </c>
      <c r="C18" s="152" t="s">
        <v>316</v>
      </c>
      <c r="D18" s="152" t="s">
        <v>327</v>
      </c>
      <c r="E18" s="152" t="s">
        <v>344</v>
      </c>
      <c r="F18" s="153">
        <v>25000000</v>
      </c>
      <c r="G18" s="179">
        <v>25000000</v>
      </c>
      <c r="H18" s="162">
        <v>36189</v>
      </c>
      <c r="I18" s="162">
        <f t="shared" si="0"/>
        <v>36224</v>
      </c>
      <c r="J18" s="163">
        <v>25000000</v>
      </c>
      <c r="K18" s="162">
        <f t="shared" si="1"/>
        <v>36309</v>
      </c>
      <c r="L18" s="163">
        <v>25000000</v>
      </c>
      <c r="M18" s="163">
        <v>0</v>
      </c>
      <c r="N18" s="154">
        <v>36298</v>
      </c>
    </row>
    <row r="19" spans="1:14" s="152" customFormat="1">
      <c r="A19" s="142">
        <v>2668</v>
      </c>
      <c r="B19" s="1" t="s">
        <v>633</v>
      </c>
      <c r="C19" s="152" t="s">
        <v>316</v>
      </c>
      <c r="D19" s="152" t="s">
        <v>328</v>
      </c>
      <c r="E19" s="152" t="s">
        <v>350</v>
      </c>
      <c r="F19" s="153">
        <v>25000000</v>
      </c>
      <c r="G19" s="179">
        <v>25000000</v>
      </c>
      <c r="H19" s="162">
        <v>36168</v>
      </c>
      <c r="I19" s="162">
        <f t="shared" si="0"/>
        <v>36203</v>
      </c>
      <c r="J19" s="163">
        <v>25000000</v>
      </c>
      <c r="K19" s="162">
        <f t="shared" si="1"/>
        <v>36288</v>
      </c>
      <c r="L19" s="163">
        <v>19000000</v>
      </c>
      <c r="M19" s="163">
        <f>J19-L19</f>
        <v>6000000</v>
      </c>
      <c r="N19" s="154">
        <v>36286</v>
      </c>
    </row>
    <row r="20" spans="1:14" s="152" customFormat="1">
      <c r="A20" s="142">
        <v>2691</v>
      </c>
      <c r="B20" s="1" t="s">
        <v>621</v>
      </c>
      <c r="C20" s="152" t="s">
        <v>318</v>
      </c>
      <c r="D20" s="152" t="s">
        <v>629</v>
      </c>
      <c r="E20" s="152" t="s">
        <v>348</v>
      </c>
      <c r="F20" s="153">
        <v>25000000</v>
      </c>
      <c r="G20" s="179">
        <v>25000000</v>
      </c>
      <c r="H20" s="162">
        <v>36183</v>
      </c>
      <c r="I20" s="162">
        <f t="shared" si="0"/>
        <v>36218</v>
      </c>
      <c r="J20" s="163">
        <v>25000000</v>
      </c>
      <c r="K20" s="162">
        <f t="shared" si="1"/>
        <v>36303</v>
      </c>
      <c r="L20" s="163">
        <v>0</v>
      </c>
      <c r="M20" s="163">
        <v>25000000</v>
      </c>
      <c r="N20" s="154">
        <v>36285</v>
      </c>
    </row>
    <row r="21" spans="1:14" s="152" customFormat="1">
      <c r="A21" s="142">
        <v>2692</v>
      </c>
      <c r="B21" s="1" t="s">
        <v>633</v>
      </c>
      <c r="C21" s="152" t="s">
        <v>316</v>
      </c>
      <c r="D21" s="152" t="s">
        <v>317</v>
      </c>
      <c r="E21" s="152" t="s">
        <v>352</v>
      </c>
      <c r="F21" s="153">
        <v>12000000</v>
      </c>
      <c r="G21" s="179">
        <v>12000000</v>
      </c>
      <c r="H21" s="162">
        <v>36183</v>
      </c>
      <c r="I21" s="162">
        <f t="shared" si="0"/>
        <v>36218</v>
      </c>
      <c r="J21" s="163">
        <v>12000000</v>
      </c>
      <c r="K21" s="162">
        <f t="shared" si="1"/>
        <v>36303</v>
      </c>
      <c r="L21" s="163">
        <v>12000000</v>
      </c>
      <c r="M21" s="163">
        <v>0</v>
      </c>
      <c r="N21" s="154">
        <v>36299</v>
      </c>
    </row>
    <row r="22" spans="1:14" s="152" customFormat="1">
      <c r="A22" s="142">
        <v>2700</v>
      </c>
      <c r="B22" s="1" t="s">
        <v>633</v>
      </c>
      <c r="C22" s="152" t="s">
        <v>316</v>
      </c>
      <c r="D22" s="152" t="s">
        <v>317</v>
      </c>
      <c r="E22" s="152" t="s">
        <v>353</v>
      </c>
      <c r="F22" s="153">
        <v>12000000</v>
      </c>
      <c r="G22" s="179">
        <v>12000000</v>
      </c>
      <c r="H22" s="162">
        <v>36189</v>
      </c>
      <c r="I22" s="162">
        <f t="shared" si="0"/>
        <v>36224</v>
      </c>
      <c r="J22" s="163">
        <v>12000000</v>
      </c>
      <c r="K22" s="162">
        <f t="shared" si="1"/>
        <v>36309</v>
      </c>
      <c r="L22" s="163">
        <v>12000000</v>
      </c>
      <c r="M22" s="163">
        <v>0</v>
      </c>
      <c r="N22" s="154">
        <v>36299</v>
      </c>
    </row>
    <row r="23" spans="1:14" s="152" customFormat="1">
      <c r="A23" s="142">
        <v>2680</v>
      </c>
      <c r="B23" s="1" t="s">
        <v>633</v>
      </c>
      <c r="C23" s="152" t="s">
        <v>329</v>
      </c>
      <c r="D23" s="152" t="s">
        <v>330</v>
      </c>
      <c r="E23" s="152" t="s">
        <v>354</v>
      </c>
      <c r="F23" s="153">
        <v>25000000</v>
      </c>
      <c r="G23" s="179">
        <v>25000000</v>
      </c>
      <c r="H23" s="162">
        <v>36175</v>
      </c>
      <c r="I23" s="162">
        <f t="shared" si="0"/>
        <v>36210</v>
      </c>
      <c r="J23" s="163">
        <v>25000000</v>
      </c>
      <c r="K23" s="162">
        <f t="shared" si="1"/>
        <v>36295</v>
      </c>
      <c r="L23" s="163">
        <v>14200000</v>
      </c>
      <c r="M23" s="163">
        <f>J23-L23</f>
        <v>10800000</v>
      </c>
      <c r="N23" s="154">
        <v>36301</v>
      </c>
    </row>
    <row r="24" spans="1:14" s="191" customFormat="1">
      <c r="A24" s="142">
        <v>2669</v>
      </c>
      <c r="B24" s="1" t="s">
        <v>627</v>
      </c>
      <c r="C24" s="152" t="s">
        <v>316</v>
      </c>
      <c r="D24" s="152" t="s">
        <v>331</v>
      </c>
      <c r="E24" s="152" t="s">
        <v>355</v>
      </c>
      <c r="F24" s="153">
        <v>10000000</v>
      </c>
      <c r="G24" s="248">
        <v>10000000</v>
      </c>
      <c r="H24" s="183">
        <v>36168</v>
      </c>
      <c r="I24" s="162">
        <f t="shared" si="0"/>
        <v>36203</v>
      </c>
      <c r="J24" s="251">
        <v>10000000</v>
      </c>
      <c r="K24" s="162">
        <f t="shared" si="1"/>
        <v>36288</v>
      </c>
      <c r="L24" s="251">
        <v>0</v>
      </c>
      <c r="M24" s="251">
        <v>10000000</v>
      </c>
      <c r="N24" s="194">
        <v>36298</v>
      </c>
    </row>
    <row r="25" spans="1:14" s="226" customFormat="1">
      <c r="A25" s="225">
        <v>2681</v>
      </c>
      <c r="B25" s="198" t="s">
        <v>633</v>
      </c>
      <c r="C25" s="226" t="s">
        <v>332</v>
      </c>
      <c r="D25" s="226" t="s">
        <v>333</v>
      </c>
      <c r="E25" s="226" t="s">
        <v>345</v>
      </c>
      <c r="F25" s="227">
        <v>25000000</v>
      </c>
      <c r="G25" s="248">
        <v>25000000</v>
      </c>
      <c r="H25" s="249">
        <v>36175</v>
      </c>
      <c r="I25" s="249">
        <f t="shared" si="0"/>
        <v>36210</v>
      </c>
      <c r="J25" s="250">
        <v>25000000</v>
      </c>
      <c r="K25" s="249">
        <f t="shared" si="1"/>
        <v>36295</v>
      </c>
      <c r="L25" s="250">
        <v>20600000</v>
      </c>
      <c r="M25" s="250">
        <f>G25-L25</f>
        <v>4400000</v>
      </c>
      <c r="N25" s="211">
        <v>36298</v>
      </c>
    </row>
    <row r="26" spans="1:14" s="152" customFormat="1">
      <c r="A26" s="142">
        <v>2703</v>
      </c>
      <c r="B26" s="1" t="s">
        <v>633</v>
      </c>
      <c r="C26" s="152" t="s">
        <v>334</v>
      </c>
      <c r="D26" s="152" t="s">
        <v>335</v>
      </c>
      <c r="E26" s="152" t="s">
        <v>356</v>
      </c>
      <c r="F26" s="153">
        <v>25000000</v>
      </c>
      <c r="G26" s="255">
        <v>25000000</v>
      </c>
      <c r="H26" s="154">
        <v>36209</v>
      </c>
      <c r="I26" s="162">
        <f t="shared" si="0"/>
        <v>36244</v>
      </c>
      <c r="J26" s="163">
        <v>25000000</v>
      </c>
      <c r="K26" s="162">
        <f t="shared" si="1"/>
        <v>36329</v>
      </c>
      <c r="L26" s="256">
        <v>25000000</v>
      </c>
      <c r="M26" s="163">
        <v>0</v>
      </c>
      <c r="N26" s="154">
        <v>36333</v>
      </c>
    </row>
    <row r="27" spans="1:14" s="152" customFormat="1">
      <c r="A27" s="142">
        <v>2712</v>
      </c>
      <c r="B27" s="1" t="s">
        <v>633</v>
      </c>
      <c r="C27" s="152" t="s">
        <v>655</v>
      </c>
      <c r="D27" s="152" t="s">
        <v>336</v>
      </c>
      <c r="E27" s="152" t="s">
        <v>357</v>
      </c>
      <c r="F27" s="153">
        <v>25000000</v>
      </c>
      <c r="G27" s="255">
        <v>25000000</v>
      </c>
      <c r="H27" s="154">
        <v>36265</v>
      </c>
      <c r="I27" s="162">
        <f t="shared" si="0"/>
        <v>36300</v>
      </c>
      <c r="J27" s="163">
        <v>25000000</v>
      </c>
      <c r="K27" s="162">
        <f t="shared" si="1"/>
        <v>36385</v>
      </c>
      <c r="L27" s="163">
        <v>25000000</v>
      </c>
      <c r="M27" s="152">
        <v>0</v>
      </c>
      <c r="N27" s="154">
        <v>36378</v>
      </c>
    </row>
    <row r="28" spans="1:14" s="152" customFormat="1">
      <c r="A28" s="142">
        <v>2718</v>
      </c>
      <c r="B28" s="1" t="s">
        <v>624</v>
      </c>
      <c r="C28" s="152" t="s">
        <v>337</v>
      </c>
      <c r="D28" s="152" t="s">
        <v>338</v>
      </c>
      <c r="E28" s="152" t="s">
        <v>358</v>
      </c>
      <c r="F28" s="153">
        <v>25000000</v>
      </c>
      <c r="G28" s="255">
        <v>25000000</v>
      </c>
      <c r="H28" s="154">
        <v>36288</v>
      </c>
      <c r="I28" s="162">
        <f t="shared" si="0"/>
        <v>36323</v>
      </c>
      <c r="J28" s="255">
        <v>25000000</v>
      </c>
      <c r="K28" s="162">
        <f t="shared" si="1"/>
        <v>36408</v>
      </c>
      <c r="L28" s="163">
        <v>25000000</v>
      </c>
      <c r="M28" s="152">
        <v>0</v>
      </c>
      <c r="N28" s="154">
        <v>36392</v>
      </c>
    </row>
    <row r="29" spans="1:14" s="152" customFormat="1">
      <c r="A29" s="142">
        <v>2717</v>
      </c>
      <c r="B29" s="1" t="s">
        <v>621</v>
      </c>
      <c r="C29" s="152" t="s">
        <v>316</v>
      </c>
      <c r="D29" s="152" t="s">
        <v>339</v>
      </c>
      <c r="E29" s="152" t="s">
        <v>654</v>
      </c>
      <c r="F29" s="153">
        <v>25000000</v>
      </c>
      <c r="G29" s="255">
        <v>25000000</v>
      </c>
      <c r="H29" s="154">
        <v>36286</v>
      </c>
      <c r="I29" s="162">
        <f t="shared" si="0"/>
        <v>36321</v>
      </c>
      <c r="J29" s="163">
        <v>25000000</v>
      </c>
      <c r="K29" s="162">
        <f t="shared" si="1"/>
        <v>36406</v>
      </c>
      <c r="M29" s="152">
        <v>25000000</v>
      </c>
    </row>
    <row r="30" spans="1:14" s="152" customFormat="1">
      <c r="A30" s="142">
        <v>2722</v>
      </c>
      <c r="B30" s="1" t="s">
        <v>627</v>
      </c>
      <c r="C30" s="152" t="s">
        <v>316</v>
      </c>
      <c r="D30" s="152" t="s">
        <v>330</v>
      </c>
      <c r="E30" s="152" t="s">
        <v>350</v>
      </c>
      <c r="F30" s="153">
        <v>25000000</v>
      </c>
      <c r="G30" s="163">
        <v>25000000</v>
      </c>
      <c r="H30" s="154">
        <v>36299</v>
      </c>
      <c r="I30" s="162">
        <f t="shared" si="0"/>
        <v>36334</v>
      </c>
      <c r="J30" s="163"/>
      <c r="K30" s="162">
        <f t="shared" si="1"/>
        <v>36419</v>
      </c>
      <c r="M30" s="163">
        <v>25000000</v>
      </c>
      <c r="N30" s="154">
        <v>36335</v>
      </c>
    </row>
    <row r="31" spans="1:14" s="152" customFormat="1">
      <c r="A31" s="142">
        <v>2726</v>
      </c>
      <c r="B31" s="1" t="s">
        <v>633</v>
      </c>
      <c r="C31" s="152" t="s">
        <v>316</v>
      </c>
      <c r="D31" s="152" t="s">
        <v>315</v>
      </c>
      <c r="E31" s="152" t="s">
        <v>352</v>
      </c>
      <c r="F31" s="153">
        <v>25000000</v>
      </c>
      <c r="G31" s="163">
        <v>25000000</v>
      </c>
      <c r="H31" s="154">
        <v>36315</v>
      </c>
      <c r="I31" s="162">
        <f t="shared" si="0"/>
        <v>36350</v>
      </c>
      <c r="J31" s="163">
        <v>25000000</v>
      </c>
      <c r="K31" s="162">
        <f t="shared" si="1"/>
        <v>36435</v>
      </c>
      <c r="L31" s="163">
        <v>18600000</v>
      </c>
      <c r="M31" s="164">
        <f>J31-L31</f>
        <v>6400000</v>
      </c>
      <c r="N31" s="154">
        <v>36410</v>
      </c>
    </row>
    <row r="32" spans="1:14" s="152" customFormat="1">
      <c r="A32">
        <v>272</v>
      </c>
      <c r="B32" s="1" t="s">
        <v>621</v>
      </c>
      <c r="C32" t="s">
        <v>310</v>
      </c>
      <c r="D32" t="s">
        <v>340</v>
      </c>
      <c r="E32" t="s">
        <v>359</v>
      </c>
      <c r="F32" s="112">
        <v>25000000</v>
      </c>
      <c r="G32" s="163"/>
      <c r="H32" s="154"/>
      <c r="I32" s="162"/>
      <c r="J32" s="195"/>
      <c r="K32" s="162"/>
    </row>
    <row r="33" spans="1:14" s="152" customFormat="1">
      <c r="A33" s="142">
        <v>2744</v>
      </c>
      <c r="B33" s="1" t="s">
        <v>633</v>
      </c>
      <c r="C33" s="152" t="s">
        <v>316</v>
      </c>
      <c r="D33" s="152" t="s">
        <v>317</v>
      </c>
      <c r="F33" s="153">
        <v>25000000</v>
      </c>
      <c r="G33" s="163">
        <v>25000000</v>
      </c>
      <c r="H33" s="154">
        <v>36382</v>
      </c>
      <c r="I33" s="162">
        <f t="shared" si="0"/>
        <v>36417</v>
      </c>
      <c r="J33" s="163">
        <v>25000000</v>
      </c>
      <c r="K33" s="162">
        <f t="shared" si="1"/>
        <v>36502</v>
      </c>
      <c r="L33" s="163">
        <v>25000000</v>
      </c>
      <c r="M33" s="152">
        <v>0</v>
      </c>
      <c r="N33" s="154">
        <v>36487</v>
      </c>
    </row>
    <row r="34" spans="1:14">
      <c r="A34">
        <v>285</v>
      </c>
      <c r="B34" s="1" t="s">
        <v>300</v>
      </c>
      <c r="C34" t="s">
        <v>318</v>
      </c>
      <c r="D34" t="s">
        <v>326</v>
      </c>
      <c r="E34" t="s">
        <v>348</v>
      </c>
      <c r="F34" s="112">
        <v>25000000</v>
      </c>
    </row>
    <row r="35" spans="1:14">
      <c r="A35">
        <v>292</v>
      </c>
      <c r="B35" s="1" t="s">
        <v>300</v>
      </c>
      <c r="C35" t="s">
        <v>341</v>
      </c>
      <c r="D35" t="s">
        <v>342</v>
      </c>
      <c r="E35" t="s">
        <v>345</v>
      </c>
      <c r="F35" s="112">
        <v>25000000</v>
      </c>
    </row>
    <row r="36" spans="1:14">
      <c r="B36" s="1"/>
    </row>
    <row r="37" spans="1:14">
      <c r="B37" s="1"/>
    </row>
    <row r="39" spans="1:14">
      <c r="C39" s="12" t="s">
        <v>25</v>
      </c>
      <c r="D39" s="12"/>
      <c r="E39" s="12"/>
      <c r="F39" s="123">
        <f>SUM(F7:F38)</f>
        <v>651000000</v>
      </c>
      <c r="G39" s="113">
        <f>SUM(G7:G38)</f>
        <v>576000000</v>
      </c>
      <c r="L39" s="113">
        <f>SUM(L7:L38)</f>
        <v>391476662.44999999</v>
      </c>
      <c r="M39" s="113">
        <f>SUM(M7:M38)</f>
        <v>184523337.55000001</v>
      </c>
    </row>
    <row r="40" spans="1:14">
      <c r="C40" s="12"/>
      <c r="D40" s="12"/>
      <c r="E40" s="12"/>
    </row>
    <row r="41" spans="1:14">
      <c r="C41" s="12" t="s">
        <v>264</v>
      </c>
      <c r="D41" s="12"/>
      <c r="E41" s="12"/>
      <c r="F41" s="30">
        <f>SUM(F39-G39)</f>
        <v>75000000</v>
      </c>
    </row>
    <row r="42" spans="1:14">
      <c r="C42" s="12"/>
      <c r="D42" s="12"/>
      <c r="E42" s="12"/>
    </row>
    <row r="43" spans="1:14">
      <c r="C43" s="12" t="s">
        <v>37</v>
      </c>
      <c r="D43" s="12"/>
      <c r="E43" s="12"/>
      <c r="F43" s="56">
        <f>C1-G39+M39</f>
        <v>33231250.550000012</v>
      </c>
      <c r="G43" s="180"/>
      <c r="H43" s="180"/>
    </row>
    <row r="44" spans="1:14">
      <c r="I44" s="235"/>
    </row>
  </sheetData>
  <phoneticPr fontId="0" type="noConversion"/>
  <pageMargins left="0.75" right="0.75" top="1" bottom="1" header="0.5" footer="0.5"/>
  <pageSetup scale="64" fitToHeight="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9</vt:i4>
      </vt:variant>
    </vt:vector>
  </HeadingPairs>
  <TitlesOfParts>
    <vt:vector size="32" baseType="lpstr">
      <vt:lpstr>Report to Bond Buyer</vt:lpstr>
      <vt:lpstr>Totals</vt:lpstr>
      <vt:lpstr>Carryforward2002</vt:lpstr>
      <vt:lpstr>Carryforward 2003</vt:lpstr>
      <vt:lpstr>SC1 MRB</vt:lpstr>
      <vt:lpstr>State Voted</vt:lpstr>
      <vt:lpstr>Small Issue IDBs</vt:lpstr>
      <vt:lpstr>Monica</vt:lpstr>
      <vt:lpstr>SC4 MF- TDHCA</vt:lpstr>
      <vt:lpstr>REGION 1</vt:lpstr>
      <vt:lpstr>REGION 2</vt:lpstr>
      <vt:lpstr>REGION 3</vt:lpstr>
      <vt:lpstr>REGION 4</vt:lpstr>
      <vt:lpstr>REGION 5</vt:lpstr>
      <vt:lpstr>REGION 6</vt:lpstr>
      <vt:lpstr>REGION 7</vt:lpstr>
      <vt:lpstr>REGION 8A</vt:lpstr>
      <vt:lpstr>REGION 8B</vt:lpstr>
      <vt:lpstr>REGION 9</vt:lpstr>
      <vt:lpstr>REGION 10</vt:lpstr>
      <vt:lpstr>September 1</vt:lpstr>
      <vt:lpstr>Student Loan Bonds</vt:lpstr>
      <vt:lpstr>SC6 OTHER</vt:lpstr>
      <vt:lpstr>'SC4 MF- TDHCA'!Print_Area</vt:lpstr>
      <vt:lpstr>'Small Issue IDBs'!Print_Area</vt:lpstr>
      <vt:lpstr>'State Voted'!Print_Area</vt:lpstr>
      <vt:lpstr>'Student Loan Bonds'!Print_Area</vt:lpstr>
      <vt:lpstr>Totals!Print_Area</vt:lpstr>
      <vt:lpstr>'SC4 MF- TDHCA'!Print_Titles</vt:lpstr>
      <vt:lpstr>'Small Issue IDBs'!Print_Titles</vt:lpstr>
      <vt:lpstr>'State Voted'!Print_Titles</vt:lpstr>
      <vt:lpstr>'Student Loan Bonds'!Print_Titles</vt:lpstr>
    </vt:vector>
  </TitlesOfParts>
  <Company>Texas Bond Review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Texas Bond Review Board</dc:creator>
  <cp:lastModifiedBy>Jamie Backiel</cp:lastModifiedBy>
  <cp:lastPrinted>2004-04-13T16:20:06Z</cp:lastPrinted>
  <dcterms:created xsi:type="dcterms:W3CDTF">1998-10-28T19:13:07Z</dcterms:created>
  <dcterms:modified xsi:type="dcterms:W3CDTF">2022-08-24T19:35:36Z</dcterms:modified>
</cp:coreProperties>
</file>