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ate1904="1" defaultThemeVersion="166925"/>
  <mc:AlternateContent xmlns:mc="http://schemas.openxmlformats.org/markup-compatibility/2006">
    <mc:Choice Requires="x15">
      <x15ac:absPath xmlns:x15ac="http://schemas.microsoft.com/office/spreadsheetml/2010/11/ac" url="F:\PAB\PAB ARCHIVE\2005 PAB\"/>
    </mc:Choice>
  </mc:AlternateContent>
  <xr:revisionPtr revIDLastSave="0" documentId="13_ncr:40009_{54BF74A8-3DEB-4CFB-B2E6-891AF2F5D14B}" xr6:coauthVersionLast="47" xr6:coauthVersionMax="47" xr10:uidLastSave="{00000000-0000-0000-0000-000000000000}"/>
  <bookViews>
    <workbookView xWindow="28680" yWindow="-120" windowWidth="29040" windowHeight="15840" tabRatio="858"/>
  </bookViews>
  <sheets>
    <sheet name="Totals" sheetId="5" r:id="rId1"/>
    <sheet name="Collapse" sheetId="40" r:id="rId2"/>
    <sheet name="LHFC June 1st" sheetId="38" r:id="rId3"/>
    <sheet name="2002 CF" sheetId="39" r:id="rId4"/>
    <sheet name="2003 CF" sheetId="37" r:id="rId5"/>
    <sheet name="2004 CF" sheetId="36" r:id="rId6"/>
    <sheet name="2005 CF" sheetId="33" r:id="rId7"/>
    <sheet name="Bond Buyer" sheetId="41" r:id="rId8"/>
    <sheet name="SC1 MRB" sheetId="14" r:id="rId9"/>
    <sheet name="SC2 State Voted" sheetId="4" r:id="rId10"/>
    <sheet name="SC3 Small Issue IDBs" sheetId="6" r:id="rId11"/>
    <sheet name="SC4 TSAHC" sheetId="30" r:id="rId12"/>
    <sheet name="SC4 MF- TDHCA" sheetId="7" r:id="rId13"/>
    <sheet name="REGION 1" sheetId="11" r:id="rId14"/>
    <sheet name="REGION 3" sheetId="12" r:id="rId15"/>
    <sheet name="REGION 6" sheetId="18" r:id="rId16"/>
    <sheet name="REGION 7" sheetId="19" r:id="rId17"/>
    <sheet name="REGION 9" sheetId="21" r:id="rId18"/>
    <sheet name="REGION 10" sheetId="22" r:id="rId19"/>
    <sheet name="REGION 11" sheetId="26" r:id="rId20"/>
    <sheet name="REGION 13" sheetId="27" r:id="rId21"/>
    <sheet name="SC5 Student Loans" sheetId="8" r:id="rId22"/>
    <sheet name="SC6 OTHER" sheetId="24" r:id="rId23"/>
  </sheets>
  <definedNames>
    <definedName name="_xlnm.Print_Area" localSheetId="1">Collapse!$A$1:$N$77</definedName>
    <definedName name="_xlnm.Print_Area" localSheetId="9">'SC2 State Voted'!$A$1:$N$24</definedName>
    <definedName name="_xlnm.Print_Area" localSheetId="10">'SC3 Small Issue IDBs'!$A$1:$N$27</definedName>
    <definedName name="_xlnm.Print_Area" localSheetId="12">'SC4 MF- TDHCA'!$A$1:$N$68</definedName>
    <definedName name="_xlnm.Print_Area" localSheetId="21">'SC5 Student Loans'!$A$1:$N$27</definedName>
    <definedName name="_xlnm.Print_Area" localSheetId="0">Totals!$A$1:$J$27</definedName>
    <definedName name="_xlnm.Print_Titles" localSheetId="9">'SC2 State Voted'!$1:$8</definedName>
    <definedName name="_xlnm.Print_Titles" localSheetId="10">'SC3 Small Issue IDBs'!$1:$6</definedName>
    <definedName name="_xlnm.Print_Titles" localSheetId="12">'SC4 MF- TDHCA'!$1:$6</definedName>
    <definedName name="_xlnm.Print_Titles" localSheetId="21">'SC5 Student Loans'!$1:$5</definedName>
  </definedNames>
  <calcPr calcId="191029" fullCalcOnLoad="1" iterate="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0" i="33" l="1"/>
  <c r="I7" i="33"/>
  <c r="I8" i="33"/>
  <c r="I9" i="33"/>
  <c r="I6" i="33"/>
  <c r="C48" i="41"/>
  <c r="M9" i="8"/>
  <c r="F63" i="36"/>
  <c r="G63" i="36"/>
  <c r="J63" i="36"/>
  <c r="L44" i="36"/>
  <c r="L63" i="36" s="1"/>
  <c r="C21" i="41" s="1"/>
  <c r="O12" i="14"/>
  <c r="C24" i="41"/>
  <c r="C26" i="41"/>
  <c r="C28" i="41"/>
  <c r="C32" i="41"/>
  <c r="M13" i="39"/>
  <c r="C30" i="41" s="1"/>
  <c r="C17" i="41"/>
  <c r="J14" i="5"/>
  <c r="C25" i="41" s="1"/>
  <c r="G12" i="33"/>
  <c r="K8" i="39"/>
  <c r="G45" i="41"/>
  <c r="F45" i="41"/>
  <c r="E45" i="41"/>
  <c r="D45" i="41"/>
  <c r="G54" i="33"/>
  <c r="G56" i="33"/>
  <c r="G59" i="33" s="1"/>
  <c r="C34" i="41" s="1"/>
  <c r="L51" i="38"/>
  <c r="L43" i="18"/>
  <c r="F12" i="33"/>
  <c r="M56" i="33"/>
  <c r="L56" i="33"/>
  <c r="J56" i="33"/>
  <c r="F56" i="33"/>
  <c r="K55" i="33"/>
  <c r="I55" i="33"/>
  <c r="K54" i="33"/>
  <c r="I54" i="33"/>
  <c r="K53" i="33"/>
  <c r="I53" i="33"/>
  <c r="K52" i="33"/>
  <c r="I52" i="33"/>
  <c r="K51" i="33"/>
  <c r="I51" i="33"/>
  <c r="K50" i="33"/>
  <c r="I50" i="33"/>
  <c r="K49" i="33"/>
  <c r="I49" i="33"/>
  <c r="K48" i="33"/>
  <c r="I48" i="33"/>
  <c r="K47" i="33"/>
  <c r="I47" i="33"/>
  <c r="K46" i="33"/>
  <c r="I46" i="33"/>
  <c r="K45" i="33"/>
  <c r="I45" i="33"/>
  <c r="K44" i="33"/>
  <c r="I44" i="33"/>
  <c r="K43" i="33"/>
  <c r="I43" i="33"/>
  <c r="K42" i="33"/>
  <c r="I42" i="33"/>
  <c r="K41" i="33"/>
  <c r="I41" i="33"/>
  <c r="K40" i="33"/>
  <c r="I40" i="33"/>
  <c r="K39" i="33"/>
  <c r="I39" i="33"/>
  <c r="K38" i="33"/>
  <c r="I38" i="33"/>
  <c r="K37" i="33"/>
  <c r="I37" i="33"/>
  <c r="K36" i="33"/>
  <c r="I36" i="33"/>
  <c r="K35" i="33"/>
  <c r="I35" i="33"/>
  <c r="K34" i="33"/>
  <c r="I34" i="33"/>
  <c r="K33" i="33"/>
  <c r="I33" i="33"/>
  <c r="K32" i="33"/>
  <c r="I32" i="33"/>
  <c r="K31" i="33"/>
  <c r="I31" i="33"/>
  <c r="K30" i="33"/>
  <c r="I30" i="33"/>
  <c r="K29" i="33"/>
  <c r="I29" i="33"/>
  <c r="K28" i="33"/>
  <c r="I28" i="33"/>
  <c r="K27" i="33"/>
  <c r="I27" i="33"/>
  <c r="K26" i="33"/>
  <c r="I26" i="33"/>
  <c r="K25" i="33"/>
  <c r="I25" i="33"/>
  <c r="K24" i="33"/>
  <c r="I24" i="33"/>
  <c r="K23" i="33"/>
  <c r="I23" i="33"/>
  <c r="K22" i="33"/>
  <c r="I22" i="33"/>
  <c r="K21" i="33"/>
  <c r="I21" i="33"/>
  <c r="K20" i="33"/>
  <c r="I20" i="33"/>
  <c r="K19" i="33"/>
  <c r="I19" i="33"/>
  <c r="K18" i="33"/>
  <c r="I18" i="33"/>
  <c r="M25" i="38"/>
  <c r="M45" i="38"/>
  <c r="M51" i="38" s="1"/>
  <c r="M46" i="38"/>
  <c r="G43" i="18"/>
  <c r="M10" i="18"/>
  <c r="M43" i="18" s="1"/>
  <c r="F47" i="18" s="1"/>
  <c r="M12" i="18"/>
  <c r="M13" i="18"/>
  <c r="M16" i="18"/>
  <c r="M21" i="18"/>
  <c r="M26" i="18"/>
  <c r="M28" i="18"/>
  <c r="M30" i="18"/>
  <c r="M33" i="18"/>
  <c r="M34" i="18"/>
  <c r="M39" i="18"/>
  <c r="M10" i="27"/>
  <c r="G51" i="38"/>
  <c r="G66" i="40"/>
  <c r="G70" i="40"/>
  <c r="M9" i="40"/>
  <c r="M10" i="40"/>
  <c r="M15" i="40"/>
  <c r="M16" i="40"/>
  <c r="M18" i="40"/>
  <c r="M21" i="40"/>
  <c r="M70" i="40" s="1"/>
  <c r="M22" i="40"/>
  <c r="M26" i="40"/>
  <c r="M27" i="40"/>
  <c r="M30" i="40"/>
  <c r="M37" i="40"/>
  <c r="M55" i="40"/>
  <c r="M57" i="40"/>
  <c r="M65" i="40"/>
  <c r="M68" i="40"/>
  <c r="O20" i="14"/>
  <c r="N20" i="14"/>
  <c r="C19" i="41" s="1"/>
  <c r="K54" i="40"/>
  <c r="K68" i="40"/>
  <c r="L70" i="40"/>
  <c r="J70" i="40"/>
  <c r="G22" i="14"/>
  <c r="K67" i="40"/>
  <c r="I68" i="40"/>
  <c r="I67" i="40"/>
  <c r="K66" i="40"/>
  <c r="I66" i="40"/>
  <c r="I56" i="40"/>
  <c r="K56" i="40"/>
  <c r="K65" i="40"/>
  <c r="I65" i="40"/>
  <c r="I49" i="40"/>
  <c r="K49" i="40"/>
  <c r="B35" i="41"/>
  <c r="I48" i="40"/>
  <c r="K48" i="40"/>
  <c r="K53" i="40"/>
  <c r="K50" i="40"/>
  <c r="I52" i="40"/>
  <c r="K52" i="40"/>
  <c r="K62" i="40"/>
  <c r="I64" i="40"/>
  <c r="K64" i="40"/>
  <c r="I63" i="40"/>
  <c r="K63" i="40"/>
  <c r="I62" i="40"/>
  <c r="I61" i="40"/>
  <c r="K61" i="40"/>
  <c r="I60" i="40"/>
  <c r="K60" i="40"/>
  <c r="K55" i="40"/>
  <c r="K59" i="40"/>
  <c r="I59" i="40"/>
  <c r="K58" i="40"/>
  <c r="I58" i="40"/>
  <c r="K57" i="40"/>
  <c r="I57" i="40"/>
  <c r="I55" i="40"/>
  <c r="I54" i="40"/>
  <c r="I53" i="40"/>
  <c r="I51" i="40"/>
  <c r="K51" i="40"/>
  <c r="I50" i="40"/>
  <c r="K48" i="38"/>
  <c r="K42" i="40"/>
  <c r="I42" i="40"/>
  <c r="I47" i="40"/>
  <c r="K47" i="40"/>
  <c r="I46" i="40"/>
  <c r="K46" i="40"/>
  <c r="K45" i="40"/>
  <c r="I45" i="40"/>
  <c r="K44" i="40"/>
  <c r="I44" i="40"/>
  <c r="K40" i="40"/>
  <c r="I40" i="40"/>
  <c r="M10" i="19"/>
  <c r="M41" i="7"/>
  <c r="M43" i="7"/>
  <c r="M42" i="7"/>
  <c r="M39" i="7"/>
  <c r="I41" i="40"/>
  <c r="K43" i="40"/>
  <c r="I43" i="40"/>
  <c r="K41" i="40"/>
  <c r="O22" i="14"/>
  <c r="I37" i="40"/>
  <c r="I38" i="40"/>
  <c r="F70" i="40"/>
  <c r="F72" i="40" s="1"/>
  <c r="M12" i="19"/>
  <c r="K38" i="40"/>
  <c r="K37" i="40"/>
  <c r="I36" i="40"/>
  <c r="K36" i="40"/>
  <c r="K34" i="40"/>
  <c r="K35" i="40"/>
  <c r="I34" i="40"/>
  <c r="G10" i="41"/>
  <c r="F10" i="41"/>
  <c r="D10" i="41"/>
  <c r="E10" i="41"/>
  <c r="F35" i="41"/>
  <c r="G35" i="41"/>
  <c r="E35" i="41"/>
  <c r="L12" i="19"/>
  <c r="N24" i="14"/>
  <c r="N28" i="14" s="1"/>
  <c r="K13" i="38"/>
  <c r="M26" i="24"/>
  <c r="C10" i="41"/>
  <c r="C12" i="41" s="1"/>
  <c r="C15" i="41"/>
  <c r="E15" i="41"/>
  <c r="C13" i="41"/>
  <c r="D13" i="41"/>
  <c r="E13" i="41"/>
  <c r="C14" i="41"/>
  <c r="D14" i="41"/>
  <c r="E14" i="41"/>
  <c r="E12" i="41"/>
  <c r="I31" i="40"/>
  <c r="K31" i="40"/>
  <c r="K33" i="40"/>
  <c r="I33" i="40"/>
  <c r="K32" i="40"/>
  <c r="I32" i="40"/>
  <c r="K30" i="40"/>
  <c r="I30" i="40"/>
  <c r="K28" i="40"/>
  <c r="I10" i="11"/>
  <c r="I8" i="11"/>
  <c r="I7" i="11"/>
  <c r="K8" i="11"/>
  <c r="K7" i="11"/>
  <c r="K29" i="40"/>
  <c r="I29" i="40"/>
  <c r="I28" i="40"/>
  <c r="M37" i="12"/>
  <c r="K25" i="40"/>
  <c r="M38" i="7"/>
  <c r="K27" i="40"/>
  <c r="I27" i="40"/>
  <c r="K26" i="40"/>
  <c r="I26" i="40"/>
  <c r="I25" i="40"/>
  <c r="I24" i="40"/>
  <c r="K24" i="40"/>
  <c r="K39" i="7"/>
  <c r="K9" i="40"/>
  <c r="K23" i="40"/>
  <c r="I23" i="40"/>
  <c r="M15" i="24"/>
  <c r="M37" i="7"/>
  <c r="K14" i="5"/>
  <c r="K12" i="5"/>
  <c r="M34" i="7"/>
  <c r="K12" i="38"/>
  <c r="I22" i="40"/>
  <c r="K22" i="40"/>
  <c r="K18" i="40"/>
  <c r="K21" i="40"/>
  <c r="I21" i="40"/>
  <c r="K20" i="40"/>
  <c r="I20" i="40"/>
  <c r="K19" i="40"/>
  <c r="I19" i="40"/>
  <c r="I18" i="40"/>
  <c r="K16" i="40"/>
  <c r="I16" i="40"/>
  <c r="M36" i="7"/>
  <c r="M25" i="24"/>
  <c r="M24" i="24"/>
  <c r="M23" i="24"/>
  <c r="I14" i="40"/>
  <c r="K14" i="40"/>
  <c r="K11" i="40"/>
  <c r="I13" i="40"/>
  <c r="K13" i="40"/>
  <c r="I12" i="40"/>
  <c r="K12" i="40"/>
  <c r="H6" i="5"/>
  <c r="C6" i="5"/>
  <c r="D6" i="5"/>
  <c r="E6" i="5"/>
  <c r="F6" i="5"/>
  <c r="G6" i="5"/>
  <c r="I6" i="5"/>
  <c r="J6" i="5"/>
  <c r="M8" i="26"/>
  <c r="G8" i="26"/>
  <c r="G10" i="5"/>
  <c r="G20" i="5" s="1"/>
  <c r="G27" i="5" s="1"/>
  <c r="C10" i="5"/>
  <c r="E10" i="5"/>
  <c r="F10" i="5"/>
  <c r="F16" i="5"/>
  <c r="F20" i="5"/>
  <c r="F27" i="8"/>
  <c r="G24" i="8"/>
  <c r="F7" i="8" s="1"/>
  <c r="G25" i="8"/>
  <c r="F8" i="8" s="1"/>
  <c r="H25" i="8" s="1"/>
  <c r="I25" i="8" s="1"/>
  <c r="G26" i="8"/>
  <c r="F9" i="8"/>
  <c r="F8" i="26"/>
  <c r="F51" i="38"/>
  <c r="F43" i="18"/>
  <c r="D8" i="5"/>
  <c r="F8" i="5"/>
  <c r="F18" i="5"/>
  <c r="J8" i="5"/>
  <c r="L8" i="26"/>
  <c r="L28" i="24"/>
  <c r="L46" i="7"/>
  <c r="G14" i="5" s="1"/>
  <c r="C14" i="5"/>
  <c r="J51" i="38"/>
  <c r="J8" i="26"/>
  <c r="J43" i="18"/>
  <c r="J46" i="7"/>
  <c r="G12" i="5" s="1"/>
  <c r="I12" i="5"/>
  <c r="K10" i="5"/>
  <c r="I11" i="40"/>
  <c r="I9" i="40"/>
  <c r="K8" i="40"/>
  <c r="I8" i="40"/>
  <c r="P1" i="14"/>
  <c r="N1" i="40"/>
  <c r="K15" i="40"/>
  <c r="I15" i="40"/>
  <c r="K10" i="40"/>
  <c r="I10" i="40"/>
  <c r="I28" i="36"/>
  <c r="K28" i="36"/>
  <c r="O18" i="14"/>
  <c r="O9" i="14"/>
  <c r="O24" i="14" s="1"/>
  <c r="C16" i="5" s="1"/>
  <c r="O10" i="14"/>
  <c r="O11" i="14"/>
  <c r="O13" i="14"/>
  <c r="O14" i="14"/>
  <c r="O15" i="14"/>
  <c r="O16" i="14"/>
  <c r="O19" i="14"/>
  <c r="I24" i="14"/>
  <c r="F28" i="14" s="1"/>
  <c r="F12" i="26"/>
  <c r="G10" i="4"/>
  <c r="D10" i="5" s="1"/>
  <c r="M10" i="4"/>
  <c r="D16" i="5" s="1"/>
  <c r="F14" i="4"/>
  <c r="F9" i="30"/>
  <c r="F13" i="30"/>
  <c r="F17" i="30" s="1"/>
  <c r="G46" i="7"/>
  <c r="F50" i="7" s="1"/>
  <c r="F69" i="7" s="1"/>
  <c r="I43" i="7"/>
  <c r="K43" i="7"/>
  <c r="K49" i="38"/>
  <c r="I49" i="38"/>
  <c r="K22" i="14"/>
  <c r="M22" i="14"/>
  <c r="K21" i="14"/>
  <c r="M21" i="14"/>
  <c r="F24" i="14"/>
  <c r="C8" i="5" s="1"/>
  <c r="L24" i="14"/>
  <c r="C12" i="5" s="1"/>
  <c r="B12" i="5" s="1"/>
  <c r="H9" i="14"/>
  <c r="G11" i="14"/>
  <c r="H11" i="14"/>
  <c r="H24" i="14" s="1"/>
  <c r="H12" i="14"/>
  <c r="H13" i="14"/>
  <c r="H14" i="14"/>
  <c r="G15" i="14"/>
  <c r="H15" i="14"/>
  <c r="G16" i="14"/>
  <c r="H16" i="14" s="1"/>
  <c r="I46" i="38"/>
  <c r="K46" i="38"/>
  <c r="M35" i="7"/>
  <c r="I48" i="38"/>
  <c r="K47" i="38"/>
  <c r="I47" i="38"/>
  <c r="K45" i="38"/>
  <c r="I45" i="38"/>
  <c r="F46" i="7"/>
  <c r="G8" i="5" s="1"/>
  <c r="G18" i="5" s="1"/>
  <c r="I42" i="7"/>
  <c r="K42" i="7"/>
  <c r="K41" i="38"/>
  <c r="I41" i="7"/>
  <c r="K41" i="7"/>
  <c r="I41" i="38"/>
  <c r="H23" i="5"/>
  <c r="K20" i="14"/>
  <c r="M20" i="14"/>
  <c r="M13" i="21"/>
  <c r="M33" i="7"/>
  <c r="I37" i="38"/>
  <c r="K37" i="38"/>
  <c r="K36" i="38"/>
  <c r="I36" i="38"/>
  <c r="M10" i="11"/>
  <c r="M9" i="11"/>
  <c r="K25" i="38"/>
  <c r="I25" i="38"/>
  <c r="K21" i="38"/>
  <c r="I21" i="38"/>
  <c r="K19" i="14"/>
  <c r="M19" i="14"/>
  <c r="M22" i="7"/>
  <c r="M18" i="14"/>
  <c r="K18" i="14"/>
  <c r="K18" i="38"/>
  <c r="I18" i="38"/>
  <c r="K15" i="38"/>
  <c r="I15" i="38"/>
  <c r="I39" i="7"/>
  <c r="H26" i="8"/>
  <c r="I26" i="8" s="1"/>
  <c r="M12" i="11"/>
  <c r="G12" i="19"/>
  <c r="F16" i="19" s="1"/>
  <c r="M10" i="22"/>
  <c r="I13" i="38"/>
  <c r="M10" i="37"/>
  <c r="L10" i="37"/>
  <c r="K40" i="7"/>
  <c r="I40" i="7"/>
  <c r="M22" i="12"/>
  <c r="I12" i="38"/>
  <c r="K9" i="38"/>
  <c r="I9" i="38"/>
  <c r="I26" i="24"/>
  <c r="K26" i="24"/>
  <c r="M17" i="12"/>
  <c r="L12" i="11"/>
  <c r="L10" i="22"/>
  <c r="J12" i="19"/>
  <c r="J10" i="22"/>
  <c r="J39" i="12"/>
  <c r="F12" i="19"/>
  <c r="K39" i="18"/>
  <c r="I39" i="18"/>
  <c r="G39" i="12"/>
  <c r="M36" i="12"/>
  <c r="G10" i="22"/>
  <c r="F14" i="22" s="1"/>
  <c r="F53" i="38"/>
  <c r="K37" i="12"/>
  <c r="I37" i="12"/>
  <c r="G15" i="21"/>
  <c r="F17" i="21" s="1"/>
  <c r="M9" i="21"/>
  <c r="K10" i="19"/>
  <c r="I10" i="19"/>
  <c r="M13" i="24"/>
  <c r="F15" i="21"/>
  <c r="G28" i="24"/>
  <c r="J10" i="5" s="1"/>
  <c r="F28" i="24"/>
  <c r="M16" i="24"/>
  <c r="K25" i="24"/>
  <c r="I25" i="24"/>
  <c r="K24" i="24"/>
  <c r="I24" i="24"/>
  <c r="I23" i="24"/>
  <c r="K23" i="24"/>
  <c r="M19" i="24"/>
  <c r="M14" i="24"/>
  <c r="M10" i="24"/>
  <c r="M30" i="7"/>
  <c r="I38" i="7"/>
  <c r="K38" i="7"/>
  <c r="I37" i="7"/>
  <c r="K37" i="7"/>
  <c r="N1" i="38"/>
  <c r="I21" i="24"/>
  <c r="K21" i="24"/>
  <c r="I34" i="18"/>
  <c r="K34" i="18"/>
  <c r="I31" i="36"/>
  <c r="K31" i="36"/>
  <c r="I32" i="36"/>
  <c r="K32" i="36"/>
  <c r="I33" i="36"/>
  <c r="K33" i="36"/>
  <c r="M33" i="36"/>
  <c r="L10" i="12" s="1"/>
  <c r="I35" i="36"/>
  <c r="K35" i="36"/>
  <c r="I37" i="36"/>
  <c r="K37" i="36"/>
  <c r="M37" i="36"/>
  <c r="I39" i="36"/>
  <c r="K39" i="36"/>
  <c r="M39" i="36"/>
  <c r="I40" i="36"/>
  <c r="K40" i="36"/>
  <c r="M40" i="36"/>
  <c r="M63" i="36" s="1"/>
  <c r="I41" i="36"/>
  <c r="K41" i="36"/>
  <c r="M41" i="36"/>
  <c r="I42" i="36"/>
  <c r="K42" i="36"/>
  <c r="M42" i="36"/>
  <c r="I43" i="36"/>
  <c r="K43" i="36"/>
  <c r="I44" i="36"/>
  <c r="K44" i="36"/>
  <c r="M44" i="36"/>
  <c r="I45" i="36"/>
  <c r="K45" i="36"/>
  <c r="M45" i="36"/>
  <c r="I47" i="36"/>
  <c r="K47" i="36"/>
  <c r="M47" i="36"/>
  <c r="I49" i="36"/>
  <c r="K49" i="36"/>
  <c r="M49" i="36"/>
  <c r="I51" i="36"/>
  <c r="K51" i="36"/>
  <c r="M51" i="36"/>
  <c r="I52" i="36"/>
  <c r="K52" i="36"/>
  <c r="M52" i="36"/>
  <c r="I53" i="36"/>
  <c r="K53" i="36"/>
  <c r="M53" i="36"/>
  <c r="I55" i="36"/>
  <c r="K55" i="36"/>
  <c r="M55" i="36"/>
  <c r="L10" i="21" s="1"/>
  <c r="I56" i="36"/>
  <c r="K56" i="36"/>
  <c r="M56" i="36"/>
  <c r="I58" i="36"/>
  <c r="K58" i="36"/>
  <c r="M58" i="36"/>
  <c r="I60" i="36"/>
  <c r="K60" i="36"/>
  <c r="M60" i="36"/>
  <c r="I61" i="36"/>
  <c r="K61" i="36"/>
  <c r="M61" i="36"/>
  <c r="H22" i="5"/>
  <c r="F39" i="12"/>
  <c r="F10" i="22"/>
  <c r="F10" i="4"/>
  <c r="M11" i="6"/>
  <c r="E16" i="5" s="1"/>
  <c r="M8" i="24"/>
  <c r="M28" i="24" s="1"/>
  <c r="J16" i="5" s="1"/>
  <c r="M11" i="24"/>
  <c r="M12" i="24"/>
  <c r="M17" i="24"/>
  <c r="M20" i="24"/>
  <c r="L10" i="27"/>
  <c r="L11" i="6"/>
  <c r="E14" i="5" s="1"/>
  <c r="L10" i="4"/>
  <c r="D14" i="5" s="1"/>
  <c r="L9" i="30"/>
  <c r="F14" i="5" s="1"/>
  <c r="J10" i="27"/>
  <c r="J15" i="21"/>
  <c r="J11" i="6"/>
  <c r="E12" i="5" s="1"/>
  <c r="J28" i="24"/>
  <c r="J12" i="5" s="1"/>
  <c r="J10" i="4"/>
  <c r="D12" i="5" s="1"/>
  <c r="J9" i="30"/>
  <c r="F12" i="5" s="1"/>
  <c r="M58" i="7"/>
  <c r="K33" i="18"/>
  <c r="I33" i="18"/>
  <c r="K30" i="18"/>
  <c r="I30" i="18"/>
  <c r="K28" i="18"/>
  <c r="I28" i="18"/>
  <c r="G10" i="37"/>
  <c r="J23" i="5" s="1"/>
  <c r="F10" i="37"/>
  <c r="I34" i="7"/>
  <c r="K34" i="7"/>
  <c r="K22" i="24"/>
  <c r="I22" i="24"/>
  <c r="K36" i="7"/>
  <c r="I36" i="7"/>
  <c r="K35" i="7"/>
  <c r="I35" i="7"/>
  <c r="K33" i="7"/>
  <c r="I33" i="7"/>
  <c r="K32" i="7"/>
  <c r="I32" i="7"/>
  <c r="K26" i="18"/>
  <c r="I26" i="18"/>
  <c r="I9" i="6"/>
  <c r="K9" i="6"/>
  <c r="M16" i="7"/>
  <c r="M15" i="7"/>
  <c r="M14" i="7"/>
  <c r="M11" i="7"/>
  <c r="M10" i="7"/>
  <c r="M9" i="7"/>
  <c r="M46" i="7" s="1"/>
  <c r="G16" i="5" s="1"/>
  <c r="K36" i="12"/>
  <c r="I36" i="12"/>
  <c r="K13" i="21"/>
  <c r="I13" i="21"/>
  <c r="I9" i="27"/>
  <c r="K9" i="27"/>
  <c r="K21" i="18"/>
  <c r="I21" i="18"/>
  <c r="M64" i="7"/>
  <c r="M63" i="7"/>
  <c r="M62" i="7"/>
  <c r="M60" i="7"/>
  <c r="M59" i="7"/>
  <c r="K10" i="21"/>
  <c r="I10" i="21"/>
  <c r="J12" i="11"/>
  <c r="H12" i="5" s="1"/>
  <c r="G12" i="11"/>
  <c r="F16" i="11" s="1"/>
  <c r="F12" i="11"/>
  <c r="H8" i="5" s="1"/>
  <c r="K10" i="11"/>
  <c r="K9" i="11"/>
  <c r="I9" i="11"/>
  <c r="K30" i="7"/>
  <c r="I30" i="7"/>
  <c r="G10" i="27"/>
  <c r="F14" i="27" s="1"/>
  <c r="K22" i="12"/>
  <c r="I22" i="12"/>
  <c r="M13" i="14"/>
  <c r="M17" i="36"/>
  <c r="J25" i="5" s="1"/>
  <c r="B25" i="5" s="1"/>
  <c r="L17" i="36"/>
  <c r="J17" i="36"/>
  <c r="F17" i="36"/>
  <c r="F19" i="36" s="1"/>
  <c r="G17" i="36"/>
  <c r="G12" i="8"/>
  <c r="I10" i="5" s="1"/>
  <c r="F11" i="6"/>
  <c r="E8" i="5" s="1"/>
  <c r="E18" i="5" s="1"/>
  <c r="G11" i="6"/>
  <c r="J12" i="8"/>
  <c r="M57" i="7"/>
  <c r="M56" i="7"/>
  <c r="K17" i="12"/>
  <c r="I17" i="12"/>
  <c r="J66" i="7"/>
  <c r="G24" i="5" s="1"/>
  <c r="C24" i="5"/>
  <c r="B24" i="5" s="1"/>
  <c r="F24" i="5"/>
  <c r="H24" i="5"/>
  <c r="I24" i="5"/>
  <c r="J24" i="5"/>
  <c r="M13" i="7"/>
  <c r="M7" i="8"/>
  <c r="M12" i="8" s="1"/>
  <c r="I16" i="5" s="1"/>
  <c r="M8" i="8"/>
  <c r="C22" i="5"/>
  <c r="B22" i="5"/>
  <c r="F27" i="5"/>
  <c r="M9" i="14"/>
  <c r="K8" i="6"/>
  <c r="K8" i="22"/>
  <c r="I8" i="6"/>
  <c r="I8" i="22"/>
  <c r="L12" i="8"/>
  <c r="C27" i="41" s="1"/>
  <c r="K16" i="18"/>
  <c r="I16" i="18"/>
  <c r="M54" i="7"/>
  <c r="M53" i="7"/>
  <c r="M66" i="7" s="1"/>
  <c r="M69" i="7" s="1"/>
  <c r="K16" i="7"/>
  <c r="I16" i="7"/>
  <c r="K13" i="18"/>
  <c r="I13" i="18"/>
  <c r="K12" i="18"/>
  <c r="I12" i="18"/>
  <c r="K9" i="21"/>
  <c r="I9" i="21"/>
  <c r="K22" i="7"/>
  <c r="I22" i="7"/>
  <c r="K8" i="27"/>
  <c r="I8" i="27"/>
  <c r="K10" i="18"/>
  <c r="I10" i="18"/>
  <c r="K10" i="12"/>
  <c r="I10" i="12"/>
  <c r="K14" i="7"/>
  <c r="I14" i="7"/>
  <c r="K13" i="7"/>
  <c r="I13" i="7"/>
  <c r="M17" i="14"/>
  <c r="K17" i="14"/>
  <c r="K12" i="24"/>
  <c r="I12" i="24"/>
  <c r="K11" i="24"/>
  <c r="I11" i="24"/>
  <c r="K11" i="7"/>
  <c r="I11" i="7"/>
  <c r="K10" i="7"/>
  <c r="I10" i="7"/>
  <c r="M55" i="7"/>
  <c r="F14" i="19"/>
  <c r="M15" i="30"/>
  <c r="C33" i="41" s="1"/>
  <c r="K19" i="8"/>
  <c r="I19" i="8"/>
  <c r="K15" i="30"/>
  <c r="I15" i="30"/>
  <c r="G66" i="7"/>
  <c r="F66" i="7"/>
  <c r="L66" i="7"/>
  <c r="I53" i="7"/>
  <c r="K53" i="7"/>
  <c r="I54" i="7"/>
  <c r="K54" i="7"/>
  <c r="I55" i="7"/>
  <c r="K55" i="7"/>
  <c r="I56" i="7"/>
  <c r="K56" i="7"/>
  <c r="I57" i="7"/>
  <c r="K57" i="7"/>
  <c r="I58" i="7"/>
  <c r="K58" i="7"/>
  <c r="I59" i="7"/>
  <c r="K59" i="7"/>
  <c r="I60" i="7"/>
  <c r="K60" i="7"/>
  <c r="I61" i="7"/>
  <c r="K61" i="7"/>
  <c r="I62" i="7"/>
  <c r="K62" i="7"/>
  <c r="I63" i="7"/>
  <c r="K63" i="7"/>
  <c r="I64" i="7"/>
  <c r="K64" i="7"/>
  <c r="K9" i="7"/>
  <c r="I9" i="7"/>
  <c r="K9" i="14"/>
  <c r="K16" i="14"/>
  <c r="M16" i="14"/>
  <c r="K12" i="14"/>
  <c r="M12" i="14"/>
  <c r="K15" i="14"/>
  <c r="M15" i="14"/>
  <c r="K13" i="14"/>
  <c r="K11" i="14"/>
  <c r="M11" i="14"/>
  <c r="K10" i="14"/>
  <c r="M10" i="14"/>
  <c r="M14" i="14"/>
  <c r="K14" i="14"/>
  <c r="I9" i="8"/>
  <c r="K9" i="8"/>
  <c r="I7" i="8"/>
  <c r="K7" i="8"/>
  <c r="K8" i="8"/>
  <c r="I8" i="8"/>
  <c r="I19" i="24"/>
  <c r="K19" i="24"/>
  <c r="I10" i="24"/>
  <c r="K10" i="24"/>
  <c r="I7" i="24"/>
  <c r="K7" i="24"/>
  <c r="I16" i="24"/>
  <c r="K16" i="24"/>
  <c r="I17" i="24"/>
  <c r="K17" i="24"/>
  <c r="I14" i="24"/>
  <c r="K14" i="24"/>
  <c r="I18" i="24"/>
  <c r="K18" i="24"/>
  <c r="I8" i="24"/>
  <c r="K8" i="24"/>
  <c r="I20" i="24"/>
  <c r="K20" i="24"/>
  <c r="I15" i="24"/>
  <c r="K15" i="24"/>
  <c r="I9" i="24"/>
  <c r="K9" i="24"/>
  <c r="K13" i="24"/>
  <c r="I13" i="24"/>
  <c r="F41" i="12"/>
  <c r="F14" i="11"/>
  <c r="M9" i="30"/>
  <c r="G9" i="30"/>
  <c r="F11" i="30" s="1"/>
  <c r="F10" i="27"/>
  <c r="F12" i="27" s="1"/>
  <c r="N1" i="27"/>
  <c r="F10" i="26"/>
  <c r="N1" i="26"/>
  <c r="J2" i="14"/>
  <c r="J1" i="14"/>
  <c r="N1" i="11"/>
  <c r="F12" i="22"/>
  <c r="N1" i="22"/>
  <c r="N1" i="12"/>
  <c r="N1" i="18"/>
  <c r="N1" i="19"/>
  <c r="N1" i="21"/>
  <c r="F26" i="14"/>
  <c r="N1" i="7"/>
  <c r="F48" i="7"/>
  <c r="F30" i="24"/>
  <c r="N1" i="24"/>
  <c r="J2" i="6"/>
  <c r="J1" i="6" s="1"/>
  <c r="N1" i="6"/>
  <c r="F13" i="6"/>
  <c r="N1" i="4"/>
  <c r="F12" i="4"/>
  <c r="N1" i="8"/>
  <c r="F45" i="18"/>
  <c r="C18" i="5" l="1"/>
  <c r="J18" i="5"/>
  <c r="B10" i="5"/>
  <c r="L10" i="5" s="1"/>
  <c r="I20" i="5"/>
  <c r="I27" i="5" s="1"/>
  <c r="L15" i="21"/>
  <c r="M10" i="21"/>
  <c r="H24" i="8"/>
  <c r="F12" i="8"/>
  <c r="C20" i="5"/>
  <c r="D18" i="5"/>
  <c r="J20" i="5"/>
  <c r="J27" i="5" s="1"/>
  <c r="C47" i="41"/>
  <c r="B9" i="41"/>
  <c r="B10" i="41" s="1"/>
  <c r="C43" i="41"/>
  <c r="D43" i="41" s="1"/>
  <c r="M10" i="12"/>
  <c r="M39" i="12" s="1"/>
  <c r="L39" i="12"/>
  <c r="H14" i="5" s="1"/>
  <c r="F43" i="12"/>
  <c r="M15" i="21"/>
  <c r="F19" i="21" s="1"/>
  <c r="B23" i="5"/>
  <c r="D20" i="5"/>
  <c r="D27" i="5" s="1"/>
  <c r="D32" i="41"/>
  <c r="H10" i="5"/>
  <c r="J3" i="5"/>
  <c r="F16" i="8"/>
  <c r="C23" i="41"/>
  <c r="F32" i="24"/>
  <c r="K8" i="5"/>
  <c r="B6" i="5"/>
  <c r="I14" i="5"/>
  <c r="D12" i="41"/>
  <c r="D15" i="41"/>
  <c r="E20" i="5"/>
  <c r="E27" i="5" s="1"/>
  <c r="F15" i="6"/>
  <c r="C20" i="41" l="1"/>
  <c r="B14" i="5"/>
  <c r="L14" i="5" s="1"/>
  <c r="C1" i="38"/>
  <c r="F55" i="38" s="1"/>
  <c r="C1" i="40" s="1"/>
  <c r="F74" i="40" s="1"/>
  <c r="F77" i="40" s="1"/>
  <c r="D1" i="33" s="1"/>
  <c r="I24" i="8"/>
  <c r="I27" i="8" s="1"/>
  <c r="H27" i="8"/>
  <c r="H16" i="5"/>
  <c r="B16" i="5" s="1"/>
  <c r="L16" i="5" s="1"/>
  <c r="F14" i="8"/>
  <c r="I8" i="5"/>
  <c r="D3" i="5"/>
  <c r="G3" i="5"/>
  <c r="L6" i="5"/>
  <c r="C3" i="5"/>
  <c r="I3" i="5"/>
  <c r="H3" i="5"/>
  <c r="H18" i="5"/>
  <c r="F3" i="5"/>
  <c r="D47" i="41"/>
  <c r="D35" i="41"/>
  <c r="D39" i="41" s="1"/>
  <c r="C27" i="5"/>
  <c r="E3" i="5"/>
  <c r="L12" i="5"/>
  <c r="B18" i="5" l="1"/>
  <c r="L18" i="5" s="1"/>
  <c r="H20" i="5"/>
  <c r="L3" i="5"/>
  <c r="I18" i="5"/>
  <c r="B8" i="5"/>
  <c r="L8" i="5" s="1"/>
  <c r="C45" i="41"/>
  <c r="C42" i="41"/>
  <c r="D42" i="41" s="1"/>
  <c r="C35" i="41"/>
  <c r="C39" i="41" s="1"/>
  <c r="C40" i="41" s="1"/>
  <c r="H27" i="5" l="1"/>
  <c r="B20" i="5"/>
  <c r="B27" i="5" s="1"/>
</calcChain>
</file>

<file path=xl/sharedStrings.xml><?xml version="1.0" encoding="utf-8"?>
<sst xmlns="http://schemas.openxmlformats.org/spreadsheetml/2006/main" count="2233" uniqueCount="646">
  <si>
    <t xml:space="preserve">   STATE VOTED ISSUES</t>
  </si>
  <si>
    <t>Southeast Texas HFC</t>
  </si>
  <si>
    <t>PRIORITY 2</t>
  </si>
  <si>
    <t xml:space="preserve">    RESIDENTIAL RENTAL PROJECTS</t>
  </si>
  <si>
    <t xml:space="preserve">  </t>
  </si>
  <si>
    <t>IDBs</t>
  </si>
  <si>
    <t xml:space="preserve">REGION 1 </t>
  </si>
  <si>
    <t>CERTIFIED</t>
  </si>
  <si>
    <t>UPDATE</t>
  </si>
  <si>
    <t>Odessa HFC</t>
  </si>
  <si>
    <t>TOTALS</t>
  </si>
  <si>
    <t>City of Dallas HFC</t>
  </si>
  <si>
    <t xml:space="preserve"> </t>
  </si>
  <si>
    <t xml:space="preserve">RESERVED </t>
  </si>
  <si>
    <t>DATE</t>
  </si>
  <si>
    <t>Houston HFC</t>
  </si>
  <si>
    <t>Available</t>
  </si>
  <si>
    <t>Austin HFC</t>
  </si>
  <si>
    <t>REGION 7</t>
  </si>
  <si>
    <t>SUBCEILING #4</t>
  </si>
  <si>
    <t>Lubbock HFC</t>
  </si>
  <si>
    <t>TDHCA (1/3) =</t>
  </si>
  <si>
    <t>Denton County HFC</t>
  </si>
  <si>
    <t>Capital Area HFC</t>
  </si>
  <si>
    <t>Housing Options, Inc.</t>
  </si>
  <si>
    <t>TDHCA - MF</t>
  </si>
  <si>
    <t xml:space="preserve">RESERVATION </t>
  </si>
  <si>
    <t>LOCALS  =</t>
  </si>
  <si>
    <t>Tarrant County HFC</t>
  </si>
  <si>
    <t>SUBCEILING #5</t>
  </si>
  <si>
    <t>TOTAL</t>
  </si>
  <si>
    <t>All Other</t>
  </si>
  <si>
    <t>LOT #</t>
  </si>
  <si>
    <t>Grand Prairie HFC</t>
  </si>
  <si>
    <t>until June 1</t>
  </si>
  <si>
    <t>DEADLINE</t>
  </si>
  <si>
    <t xml:space="preserve">TOTALS </t>
  </si>
  <si>
    <t>Local HFC's MF</t>
  </si>
  <si>
    <t>SUBCEILING #1</t>
  </si>
  <si>
    <t>PRIORITY 1</t>
  </si>
  <si>
    <t xml:space="preserve">180-DAY </t>
  </si>
  <si>
    <t xml:space="preserve">RELEASE/ </t>
  </si>
  <si>
    <t>REQUESTED</t>
  </si>
  <si>
    <t xml:space="preserve">   STUDENT LOAN BONDS</t>
  </si>
  <si>
    <t xml:space="preserve">SUBCEILING #3 </t>
  </si>
  <si>
    <t>State Voted</t>
  </si>
  <si>
    <t>REGION 9</t>
  </si>
  <si>
    <t>ALLOCATION</t>
  </si>
  <si>
    <t>RELEASE/</t>
  </si>
  <si>
    <t>UNSATISFIED REQUESTS</t>
  </si>
  <si>
    <t xml:space="preserve">   ALL OTHER ISSUES</t>
  </si>
  <si>
    <t>Collin County HFC</t>
  </si>
  <si>
    <t>ISSUER</t>
  </si>
  <si>
    <t>LOT#</t>
  </si>
  <si>
    <t>DOCKET#</t>
  </si>
  <si>
    <t>MRB's</t>
  </si>
  <si>
    <t>35-DAY</t>
  </si>
  <si>
    <t>North Texas HEA</t>
  </si>
  <si>
    <t>San Antonio HFC</t>
  </si>
  <si>
    <t>SUBCEILING #6</t>
  </si>
  <si>
    <t>Bexar County HFC</t>
  </si>
  <si>
    <t>Houston</t>
  </si>
  <si>
    <t xml:space="preserve">    MORTGAGE REVENUE BONDS</t>
  </si>
  <si>
    <t>Brazos HEA</t>
  </si>
  <si>
    <t>TAFA (1/3) =</t>
  </si>
  <si>
    <t xml:space="preserve"> QUALIFIED SMALL ISSUE </t>
  </si>
  <si>
    <t>STATUS</t>
  </si>
  <si>
    <t>UTILIZATION</t>
  </si>
  <si>
    <t>ELLIGIBLE</t>
  </si>
  <si>
    <t>Student Loan</t>
  </si>
  <si>
    <t>Travis County HFC</t>
  </si>
  <si>
    <t>REGION 6</t>
  </si>
  <si>
    <t xml:space="preserve">120-DAY </t>
  </si>
  <si>
    <t xml:space="preserve">    REGION 3</t>
  </si>
  <si>
    <t>REGION 10</t>
  </si>
  <si>
    <t>AMOUNT</t>
  </si>
  <si>
    <t>In-Line</t>
  </si>
  <si>
    <t>Harris County HFC</t>
  </si>
  <si>
    <t>RELEASED</t>
  </si>
  <si>
    <t>LOCATION</t>
  </si>
  <si>
    <t>PERCENTAGE</t>
  </si>
  <si>
    <t xml:space="preserve">SUBCEILING #2 </t>
  </si>
  <si>
    <t>or</t>
  </si>
  <si>
    <t>PROJECT</t>
  </si>
  <si>
    <t>South Plains HFC</t>
  </si>
  <si>
    <t>TSAHC=</t>
  </si>
  <si>
    <t>REQUESTS TO DATE</t>
  </si>
  <si>
    <t>RESERVATIONS RELEASED</t>
  </si>
  <si>
    <t>Northeast Texas HFC</t>
  </si>
  <si>
    <t>No applicants</t>
  </si>
  <si>
    <t>PRIORITY 3</t>
  </si>
  <si>
    <t>2002 CF</t>
  </si>
  <si>
    <t>Amarillo HFC</t>
  </si>
  <si>
    <t>Fort Bend County HFC</t>
  </si>
  <si>
    <t>ELIGIBLE</t>
  </si>
  <si>
    <t>150-DAY</t>
  </si>
  <si>
    <t>Hidalgo/Willacy HFC</t>
  </si>
  <si>
    <t>TSAHC - MF</t>
  </si>
  <si>
    <t>Panhandle Regional HFC</t>
  </si>
  <si>
    <t>Fort Worth, TX</t>
  </si>
  <si>
    <t>North Central Texas HFC</t>
  </si>
  <si>
    <t>Haltom City, TX</t>
  </si>
  <si>
    <t>Grand Prairie, TX</t>
  </si>
  <si>
    <t>Corinth, TX</t>
  </si>
  <si>
    <t>Northwest Central Texas Housing Finance Corp.</t>
  </si>
  <si>
    <t>Burleson, TX</t>
  </si>
  <si>
    <t>Dallas, TX</t>
  </si>
  <si>
    <t>Mansfield, TX</t>
  </si>
  <si>
    <t>Waxahachie, TX</t>
  </si>
  <si>
    <t>McKinney, TX</t>
  </si>
  <si>
    <t>Port Arthur, TX</t>
  </si>
  <si>
    <t>Houston, TX</t>
  </si>
  <si>
    <t>Pasadena, TX</t>
  </si>
  <si>
    <t>Baytown, TX</t>
  </si>
  <si>
    <t>Spring, TX</t>
  </si>
  <si>
    <t>Humble, TX</t>
  </si>
  <si>
    <t>Texas City, TX</t>
  </si>
  <si>
    <t>Lafayette Village Apartments</t>
  </si>
  <si>
    <t>Tomball, TX</t>
  </si>
  <si>
    <t>Austin, TX</t>
  </si>
  <si>
    <t>San Antonio, TX</t>
  </si>
  <si>
    <t>Valley Ridge Apts.</t>
  </si>
  <si>
    <t>Mission Verde One Apts.</t>
  </si>
  <si>
    <t>Mission Verde Four Apts.</t>
  </si>
  <si>
    <t>REGION 11</t>
  </si>
  <si>
    <t>Gulf Coast Waste Disposal Authority</t>
  </si>
  <si>
    <t>Gulf Coast IDA</t>
  </si>
  <si>
    <t>Conroe, TX</t>
  </si>
  <si>
    <t>Agrifos Fertilizer</t>
  </si>
  <si>
    <t>Calhoun County Navigation District</t>
  </si>
  <si>
    <t>Point Comfort, TX</t>
  </si>
  <si>
    <t>Port of Corpus Christi Authority of Nueces Co.</t>
  </si>
  <si>
    <t>Harris County IDC</t>
  </si>
  <si>
    <t>Deer Park, TX</t>
  </si>
  <si>
    <t>The Hills Apartments</t>
  </si>
  <si>
    <t>Status</t>
  </si>
  <si>
    <t xml:space="preserve">   </t>
  </si>
  <si>
    <t xml:space="preserve"> RESERVED  </t>
  </si>
  <si>
    <t xml:space="preserve"> AMOUNT </t>
  </si>
  <si>
    <t>CARRYFORWARD 2002</t>
  </si>
  <si>
    <t>CARRYFORWARD 2003</t>
  </si>
  <si>
    <t>SC 1</t>
  </si>
  <si>
    <t>SC 2</t>
  </si>
  <si>
    <t>SC 3</t>
  </si>
  <si>
    <t>SC 4</t>
  </si>
  <si>
    <t>SC 5</t>
  </si>
  <si>
    <t>SC 6</t>
  </si>
  <si>
    <t>TownParc at Bastrop</t>
  </si>
  <si>
    <t>PRIORITY 4</t>
  </si>
  <si>
    <t>PRIORITY 5</t>
  </si>
  <si>
    <t xml:space="preserve">2005 STATE CEILING </t>
  </si>
  <si>
    <t>Housing Authority of the City of Robstown</t>
  </si>
  <si>
    <t>Figueroa Square Apartments</t>
  </si>
  <si>
    <t>Robstown, TX</t>
  </si>
  <si>
    <t>County of El Paso HFC</t>
  </si>
  <si>
    <t>Desert Pines Apartments Project</t>
  </si>
  <si>
    <t>El Paso, TX</t>
  </si>
  <si>
    <t>Housing Authority of the City of Brownsville</t>
  </si>
  <si>
    <t>Citrus Gardens</t>
  </si>
  <si>
    <t>Sea Breeze (A Public Facility Corp.)</t>
  </si>
  <si>
    <t>Sea Breeze Senior Center</t>
  </si>
  <si>
    <t>Corpus Christi, TX</t>
  </si>
  <si>
    <t>Corpus Christi HFC</t>
  </si>
  <si>
    <t>The Villas at Costa Tarragona II</t>
  </si>
  <si>
    <t>The Villas at Costa Tarragona I</t>
  </si>
  <si>
    <t>Texas Dept. of Housing and Community Affairs</t>
  </si>
  <si>
    <t>Providence Place Apartments</t>
  </si>
  <si>
    <t>Falfurrias Village</t>
  </si>
  <si>
    <t>Donna Village</t>
  </si>
  <si>
    <t>Lakecrest Apartments</t>
  </si>
  <si>
    <t>Webber Gardens Apartments</t>
  </si>
  <si>
    <t>Providence at UT Southwestern Apts.</t>
  </si>
  <si>
    <t>Lafayette Oaks Apartments</t>
  </si>
  <si>
    <t>Church Village</t>
  </si>
  <si>
    <t>Portland Contessa Apartments</t>
  </si>
  <si>
    <t>Rosemont at Fossil Creek Apartments</t>
  </si>
  <si>
    <t>Rosemont at Lasater Apartments</t>
  </si>
  <si>
    <t>The Fred L. Landers Senior Community Apartments</t>
  </si>
  <si>
    <t>Aventine at Mesquite Apartments</t>
  </si>
  <si>
    <t>Villas at Henderson Place</t>
  </si>
  <si>
    <t>Mill City Parc Apartments</t>
  </si>
  <si>
    <t>Wahoo Parc Apartments</t>
  </si>
  <si>
    <t>The Resort at Country Lane Seniors Community</t>
  </si>
  <si>
    <t>Rockwall, TX</t>
  </si>
  <si>
    <t>Evergreen at Rockwall Senior Apartment Community</t>
  </si>
  <si>
    <t>North Richland Hills, TX</t>
  </si>
  <si>
    <t>Evergreen at North Richland Hills Senior Apartment Community</t>
  </si>
  <si>
    <t>Carrollton, TX</t>
  </si>
  <si>
    <t>Evergreen at Carrollton Senior Apartment Community</t>
  </si>
  <si>
    <t xml:space="preserve">Waxahachie I Housing </t>
  </si>
  <si>
    <t xml:space="preserve">Waxahachie 3 Housing </t>
  </si>
  <si>
    <t>Midlothian, Texas</t>
  </si>
  <si>
    <t>Wylie, TX</t>
  </si>
  <si>
    <t>The Parks at Birmingham Apartments</t>
  </si>
  <si>
    <t>Sphinx at Chenault</t>
  </si>
  <si>
    <t>Tower Ridge Apts.</t>
  </si>
  <si>
    <t>McMillan Ranch Apts.</t>
  </si>
  <si>
    <t>Providence at Marine Creek Apartments</t>
  </si>
  <si>
    <t>Haltom Village Apartments</t>
  </si>
  <si>
    <t>CityParc at Mansfield</t>
  </si>
  <si>
    <t>Lake June Villas</t>
  </si>
  <si>
    <t>West Chapel Apartments</t>
  </si>
  <si>
    <t>Waverly Place Apartments</t>
  </si>
  <si>
    <t xml:space="preserve">Waxahachie II Housing </t>
  </si>
  <si>
    <t>CityParc at Grand Prairie</t>
  </si>
  <si>
    <t>Riverside Villas Apartments</t>
  </si>
  <si>
    <t>Benbrook, TX</t>
  </si>
  <si>
    <t>Park at Vista Way Townhomes</t>
  </si>
  <si>
    <t>Sandalwood Senior Apartments</t>
  </si>
  <si>
    <t>CityParc at Runyon Springs</t>
  </si>
  <si>
    <t>Mountain Creek Apartments</t>
  </si>
  <si>
    <t>Holiday Heights Apartments</t>
  </si>
  <si>
    <t>Interport Meadows Apartments</t>
  </si>
  <si>
    <t>River Bend Residential</t>
  </si>
  <si>
    <t>Georgetown, TX</t>
  </si>
  <si>
    <t>Northwest Residential</t>
  </si>
  <si>
    <t>Fallwell Meadows Apartments</t>
  </si>
  <si>
    <t>San Marcos Estates</t>
  </si>
  <si>
    <t>Tuscany at Georgetown</t>
  </si>
  <si>
    <t>Stone Creek Reserve</t>
  </si>
  <si>
    <t>Loyola Park Apartments</t>
  </si>
  <si>
    <t>Tuscany Apartments</t>
  </si>
  <si>
    <t>Stone Creek Canyon</t>
  </si>
  <si>
    <t>Amarillo Bell Plaza Apartments</t>
  </si>
  <si>
    <t>Amarillo, TX</t>
  </si>
  <si>
    <t>Amarillo Barrington Apartments</t>
  </si>
  <si>
    <t>Northline Estates</t>
  </si>
  <si>
    <t>Vanderbilt Apts.</t>
  </si>
  <si>
    <t>Clute, TX</t>
  </si>
  <si>
    <t>Montgomery County HFC</t>
  </si>
  <si>
    <t>Conroe Estates</t>
  </si>
  <si>
    <t>Humble Meadows</t>
  </si>
  <si>
    <t>Park at Campbell Townhomes</t>
  </si>
  <si>
    <t>Sedona Seniors</t>
  </si>
  <si>
    <t>The Gardens at Gears</t>
  </si>
  <si>
    <t>Pebble Creek Apartments</t>
  </si>
  <si>
    <t xml:space="preserve">Houston, TX </t>
  </si>
  <si>
    <t>Langwick Seniors</t>
  </si>
  <si>
    <t>Reed Road Senior Residences</t>
  </si>
  <si>
    <t>Colony Place Apts.</t>
  </si>
  <si>
    <t>Fairbanks Estates</t>
  </si>
  <si>
    <t>Sundance Apts.</t>
  </si>
  <si>
    <t>Ashbury Gardens Apartments</t>
  </si>
  <si>
    <t>North Oaks Apartments</t>
  </si>
  <si>
    <t>Benmar Estates</t>
  </si>
  <si>
    <t>CityParc at Baytown</t>
  </si>
  <si>
    <t>Pearland Place Apts.</t>
  </si>
  <si>
    <t>Pearland, TX</t>
  </si>
  <si>
    <t>Flushing Meadows Apartments</t>
  </si>
  <si>
    <t>2920 Tomball Pines Apts.</t>
  </si>
  <si>
    <t>Pelican Isle Apts.</t>
  </si>
  <si>
    <t>UHF Conroe 4 Housing</t>
  </si>
  <si>
    <t>Hunters Glen Apts.</t>
  </si>
  <si>
    <t>Lakewood Terrace Apartments</t>
  </si>
  <si>
    <t>Idlewilde Apts</t>
  </si>
  <si>
    <t>Lafayette Pines Apts.</t>
  </si>
  <si>
    <t>Park at Texas City Townhomes</t>
  </si>
  <si>
    <t>Aarons Pointe Apts.</t>
  </si>
  <si>
    <t>UHF Conroe 2 Housing</t>
  </si>
  <si>
    <t>The Villas at Bethel</t>
  </si>
  <si>
    <t>UHF Conroe 1 Housing</t>
  </si>
  <si>
    <t>Rolling Creek Apartments</t>
  </si>
  <si>
    <t>The Plaza at La Marque Apartments</t>
  </si>
  <si>
    <t>Park at Uvalde Townhomes</t>
  </si>
  <si>
    <t>The Villas at Costa Algarve I Apartments</t>
  </si>
  <si>
    <t>The Gibraltar Apartments</t>
  </si>
  <si>
    <t>Eisenhauer Estates Apts.</t>
  </si>
  <si>
    <t>Clark Pointe Apts.</t>
  </si>
  <si>
    <t>Loresho Villas Apts.</t>
  </si>
  <si>
    <t>Spriggsdale Plaza Apartments</t>
  </si>
  <si>
    <t>Potranco Plaza Apartments</t>
  </si>
  <si>
    <t>The Homes at Hausman Apts.</t>
  </si>
  <si>
    <t>The Villas at Costa Malaga I Apartments</t>
  </si>
  <si>
    <t>Midcrowne Senior Pavilion Apts.</t>
  </si>
  <si>
    <t>The Villas at Costa Malaga II Apartments</t>
  </si>
  <si>
    <t>Kelly Ranch Apartments</t>
  </si>
  <si>
    <t>Palo Alto Plaza Apts.</t>
  </si>
  <si>
    <t>The Parks at New Braunfels</t>
  </si>
  <si>
    <t>Primrose at Pearsall Apartments</t>
  </si>
  <si>
    <t>Highland Ranch One Apartments</t>
  </si>
  <si>
    <t>The Villas at Costa Algarve II Apartments</t>
  </si>
  <si>
    <t>Hacienda Nogalitos</t>
  </si>
  <si>
    <t>The Alhambra Apts.</t>
  </si>
  <si>
    <t>The Villas at Costa Almadena Apts.</t>
  </si>
  <si>
    <t>Lake Front Place Apts.</t>
  </si>
  <si>
    <t>Highland Ranch Two Apartments</t>
  </si>
  <si>
    <t>Panhandle-Plains HEA</t>
  </si>
  <si>
    <t>Mission EDC</t>
  </si>
  <si>
    <t>Windermere Project</t>
  </si>
  <si>
    <t>Hornsby Bend Project</t>
  </si>
  <si>
    <t>Port Arthur Navigation District IDC</t>
  </si>
  <si>
    <t>Air Products and Chemicals</t>
  </si>
  <si>
    <t>Monarch Project</t>
  </si>
  <si>
    <t>Needville, TX</t>
  </si>
  <si>
    <t>IDC of Port of Corpus Christi</t>
  </si>
  <si>
    <t>San Leon, TX</t>
  </si>
  <si>
    <t>Flint Hill Resources</t>
  </si>
  <si>
    <t>BP Products of North America Inc.</t>
  </si>
  <si>
    <t>Exxon Capital Ventures Inc.</t>
  </si>
  <si>
    <t>Formosa Plastics Corporation of Texas</t>
  </si>
  <si>
    <t>WS General Partner</t>
  </si>
  <si>
    <t>CITGO Petroleum Corporation</t>
  </si>
  <si>
    <t>DuraTherm, Inc.</t>
  </si>
  <si>
    <t>Deer Park Refining Ltd Partnership</t>
  </si>
  <si>
    <t>West Central Texas Regional HFC</t>
  </si>
  <si>
    <t>Tx</t>
  </si>
  <si>
    <t>CARRYFORWARD 2004</t>
  </si>
  <si>
    <t>WITHDRAWN</t>
  </si>
  <si>
    <t>CF</t>
  </si>
  <si>
    <t>Texoma HFC</t>
  </si>
  <si>
    <t>SF MRB</t>
  </si>
  <si>
    <t>Rosemont at Laureland</t>
  </si>
  <si>
    <t>Rosemont at Scyene</t>
  </si>
  <si>
    <t>Cherrycrest Villas</t>
  </si>
  <si>
    <t>Lakeside Manor Senior Apts.</t>
  </si>
  <si>
    <t>Little Elm, TX</t>
  </si>
  <si>
    <t>Garland HFC</t>
  </si>
  <si>
    <t>Primrose at Crist Apts.</t>
  </si>
  <si>
    <t>Garland, TX</t>
  </si>
  <si>
    <t>The Village on Louetta</t>
  </si>
  <si>
    <t>Pepper Tree Manor</t>
  </si>
  <si>
    <t>Primrose at Bammel Apts</t>
  </si>
  <si>
    <t>Bayview (fka Waters at the Bay Apts.)</t>
  </si>
  <si>
    <t>Willowchase Park Townhomes</t>
  </si>
  <si>
    <t>Baypointe Apartments</t>
  </si>
  <si>
    <t>Webster, TX</t>
  </si>
  <si>
    <t>Oak Tree Manor</t>
  </si>
  <si>
    <t>Fairlake Cove Apartments (fka Lake Houston Pointe)</t>
  </si>
  <si>
    <t>Huffman, TX</t>
  </si>
  <si>
    <t>Park at Woodline Townhomes</t>
  </si>
  <si>
    <t>Montgomery County</t>
  </si>
  <si>
    <t>GP Ranch West Apts.</t>
  </si>
  <si>
    <t>Worthington Apts.</t>
  </si>
  <si>
    <t>Evergreen at Keller Senior Apt. Community</t>
  </si>
  <si>
    <t>Keller, TX</t>
  </si>
  <si>
    <t>TDHCA</t>
  </si>
  <si>
    <t>Homes of Pecan Grove (fka Rose Court at Simpson Stuart)</t>
  </si>
  <si>
    <t>Dallas</t>
  </si>
  <si>
    <t>Providence at Prairie Oaks (fka Rose Court Prairie Oaks)</t>
  </si>
  <si>
    <t>Arlington</t>
  </si>
  <si>
    <t>Sugar Pines Apartments</t>
  </si>
  <si>
    <t>Mission Del Rio Homes (fka Rose Court at Riverside)</t>
  </si>
  <si>
    <t>San Antonio</t>
  </si>
  <si>
    <t>Port Royal Homes (fka Merry Oaks Homes)</t>
  </si>
  <si>
    <t>Atascocita Pines Apartments</t>
  </si>
  <si>
    <t>Humble</t>
  </si>
  <si>
    <t>Canal Place Apartments (fka Canal Street)</t>
  </si>
  <si>
    <t>Creekside Manor Senior Community</t>
  </si>
  <si>
    <t>Killeen</t>
  </si>
  <si>
    <t>Tower Ridge Apartments</t>
  </si>
  <si>
    <t>Corinth</t>
  </si>
  <si>
    <t>Willow Creek Apartments</t>
  </si>
  <si>
    <t>TSAHC</t>
  </si>
  <si>
    <t>Providence at Marshall Meadows</t>
  </si>
  <si>
    <t>Rosemont at Pleasanton Apts.</t>
  </si>
  <si>
    <t>Willow Bend Apartments</t>
  </si>
  <si>
    <t>Rosemont at Garth Apts.</t>
  </si>
  <si>
    <t>Victory Street Public Facility Corp.</t>
  </si>
  <si>
    <t>Providence at Mesa</t>
  </si>
  <si>
    <t>Villas at Winkler Senior Homes (fka Providence at Winkler)</t>
  </si>
  <si>
    <t>Qualified Student Loan Bonds</t>
  </si>
  <si>
    <t>Texas</t>
  </si>
  <si>
    <t>RESERVED</t>
  </si>
  <si>
    <t>CARRYFORWARD ABANDONED</t>
  </si>
  <si>
    <t>Permian Basin Regional HFC</t>
  </si>
  <si>
    <t>Annual Need</t>
  </si>
  <si>
    <t xml:space="preserve">Calculated </t>
  </si>
  <si>
    <t>AVAILABLE ALLOCATION 05</t>
  </si>
  <si>
    <t>CANCELLED</t>
  </si>
  <si>
    <t>Reported</t>
  </si>
  <si>
    <t>05-148</t>
  </si>
  <si>
    <t>Meadow Oaks Estates</t>
  </si>
  <si>
    <t>05-149</t>
  </si>
  <si>
    <t>05-150</t>
  </si>
  <si>
    <t>05-151</t>
  </si>
  <si>
    <t>05-153</t>
  </si>
  <si>
    <t>05-154</t>
  </si>
  <si>
    <t>05-155</t>
  </si>
  <si>
    <t>After 2004 Carryforward Available</t>
  </si>
  <si>
    <t>Austin</t>
  </si>
  <si>
    <t>Primrose at Frisco Apartments</t>
  </si>
  <si>
    <t>Frisco</t>
  </si>
  <si>
    <t>Willow Creek</t>
  </si>
  <si>
    <t>Tomball</t>
  </si>
  <si>
    <t>Balch Springs</t>
  </si>
  <si>
    <t>2004 Non-traditional Carryforward</t>
  </si>
  <si>
    <t>Woodland Park Estates</t>
  </si>
  <si>
    <t>Garland</t>
  </si>
  <si>
    <t>Center Ridge Apartments</t>
  </si>
  <si>
    <t>Duncanville</t>
  </si>
  <si>
    <t>Evergreen at Rowlett</t>
  </si>
  <si>
    <t>Rowlett</t>
  </si>
  <si>
    <t>Murphy</t>
  </si>
  <si>
    <t>Evergreen at Murphy</t>
  </si>
  <si>
    <t>Evergreen at Pecan Hollow</t>
  </si>
  <si>
    <t>CLOSED</t>
  </si>
  <si>
    <t xml:space="preserve">Texas        </t>
  </si>
  <si>
    <t xml:space="preserve">Remaining </t>
  </si>
  <si>
    <t>Hale County IDC</t>
  </si>
  <si>
    <t>Plainview Peanuts</t>
  </si>
  <si>
    <t>Plainview</t>
  </si>
  <si>
    <t>Gulf Coast WDA</t>
  </si>
  <si>
    <t>Wellington Park Apartments</t>
  </si>
  <si>
    <t>Shadow Apts.</t>
  </si>
  <si>
    <t>Manor, TX</t>
  </si>
  <si>
    <t>InterPort Apts.</t>
  </si>
  <si>
    <t>Cherry Mountain Villas</t>
  </si>
  <si>
    <t>Lakeway, TX</t>
  </si>
  <si>
    <t xml:space="preserve">CARRYFORWARD </t>
  </si>
  <si>
    <t>ABANDONED</t>
  </si>
  <si>
    <t>04CF-001</t>
  </si>
  <si>
    <t>Deer Park Refining (Delayed Coker Unit)</t>
  </si>
  <si>
    <t>Deer Park</t>
  </si>
  <si>
    <t>04CF-002</t>
  </si>
  <si>
    <t>BP Products North America Inc.</t>
  </si>
  <si>
    <t xml:space="preserve">Texas City </t>
  </si>
  <si>
    <t>TDCHA</t>
  </si>
  <si>
    <t>Alta Cullen</t>
  </si>
  <si>
    <t>04CF-003</t>
  </si>
  <si>
    <t>Waxahachie</t>
  </si>
  <si>
    <t>04CF-004</t>
  </si>
  <si>
    <t>04CF-005</t>
  </si>
  <si>
    <t>04CF-006</t>
  </si>
  <si>
    <t xml:space="preserve">Waxahachie Senior Apartments </t>
  </si>
  <si>
    <t xml:space="preserve">Pleasant Village </t>
  </si>
  <si>
    <t>Grove Village</t>
  </si>
  <si>
    <t>DESIGNATION</t>
  </si>
  <si>
    <t>REGION 13</t>
  </si>
  <si>
    <t>CERTIFIED TO DATE</t>
  </si>
  <si>
    <t xml:space="preserve">Midlothian Housing </t>
  </si>
  <si>
    <t>2003 NON-TRADITIONAL CARRYFORWARD</t>
  </si>
  <si>
    <t>2004 NON-TRADITIONAL LOCAL HFC CARRYFORWARD</t>
  </si>
  <si>
    <t>2004 TRADITIONAL CARRYFORWARD</t>
  </si>
  <si>
    <t>2005 TRADITIONAL CARRYFORWARD</t>
  </si>
  <si>
    <t>Metro HFC</t>
  </si>
  <si>
    <t>RESERVATIONS TO DATE</t>
  </si>
  <si>
    <t>Hillside Gardens</t>
  </si>
  <si>
    <t>Lafayette Chase Apartments</t>
  </si>
  <si>
    <t>2004 Carryforward</t>
  </si>
  <si>
    <t>Lubbock</t>
  </si>
  <si>
    <t>Odessa</t>
  </si>
  <si>
    <t>MRB</t>
  </si>
  <si>
    <t>MCC</t>
  </si>
  <si>
    <t>Galveston</t>
  </si>
  <si>
    <t>ALLOCATIONS TO DATE</t>
  </si>
  <si>
    <t>Dalhart EDC</t>
  </si>
  <si>
    <t>Dare Investments</t>
  </si>
  <si>
    <t>Dalhart</t>
  </si>
  <si>
    <t>Northside Farms</t>
  </si>
  <si>
    <t>Alta Northgate</t>
  </si>
  <si>
    <t>05-164</t>
  </si>
  <si>
    <t>Park Manor Senior Community</t>
  </si>
  <si>
    <t>Sherman</t>
  </si>
  <si>
    <t>Cleburne</t>
  </si>
  <si>
    <t>Katy</t>
  </si>
  <si>
    <t>Dickinson</t>
  </si>
  <si>
    <t>Fort Worth</t>
  </si>
  <si>
    <t>Missouri City</t>
  </si>
  <si>
    <t>Haltom</t>
  </si>
  <si>
    <t>Falfurrias</t>
  </si>
  <si>
    <t>Portland</t>
  </si>
  <si>
    <t>Donna</t>
  </si>
  <si>
    <t>Mesquite</t>
  </si>
  <si>
    <t xml:space="preserve">IDC of Greenville </t>
  </si>
  <si>
    <t>Brownsville</t>
  </si>
  <si>
    <t xml:space="preserve">Providence Mockingbird </t>
  </si>
  <si>
    <t>Grand Prairie</t>
  </si>
  <si>
    <t>St. Augustine Estate</t>
  </si>
  <si>
    <t>Prairie Ranch</t>
  </si>
  <si>
    <t>Dame Brothers LP Manufacturing Facility</t>
  </si>
  <si>
    <t>Greenville</t>
  </si>
  <si>
    <t>STATUS OF 2005 ALLOCATION PROGRAM AS OF -</t>
  </si>
  <si>
    <t>03CF-0001</t>
  </si>
  <si>
    <t>Waste Corporation of America</t>
  </si>
  <si>
    <t>03CF-0002</t>
  </si>
  <si>
    <t>Stuikmans Ramona</t>
  </si>
  <si>
    <t xml:space="preserve">ABANDONED/ </t>
  </si>
  <si>
    <t>2002 NON-TRADITIONAL CARRYFORWARD</t>
  </si>
  <si>
    <t>Pearland 518 Apartments</t>
  </si>
  <si>
    <t>REMAINING</t>
  </si>
  <si>
    <t>Plano</t>
  </si>
  <si>
    <t>The Plaza at Chase Oaks Apartments</t>
  </si>
  <si>
    <t>Providence at Marine Creek</t>
  </si>
  <si>
    <t>The Villas at Costa Valencia Apts</t>
  </si>
  <si>
    <t>Lindbergh Parc Senior Apartments</t>
  </si>
  <si>
    <t>05-177</t>
  </si>
  <si>
    <t>05-178</t>
  </si>
  <si>
    <t>05-179</t>
  </si>
  <si>
    <t>The Bell County HFC</t>
  </si>
  <si>
    <t>Meadow Village Apartments</t>
  </si>
  <si>
    <t>Temple</t>
  </si>
  <si>
    <t>POST LOTTERY</t>
  </si>
  <si>
    <t>Bastrop</t>
  </si>
  <si>
    <t>Georgetown</t>
  </si>
  <si>
    <t>La Marque</t>
  </si>
  <si>
    <t>San Marcos</t>
  </si>
  <si>
    <t>Artisan at Military Apartments</t>
  </si>
  <si>
    <t>Artisan at Lakefront Apartments</t>
  </si>
  <si>
    <t>Franklin Park at Salado Apartments</t>
  </si>
  <si>
    <t>New Braunfels Garden Apartments</t>
  </si>
  <si>
    <t xml:space="preserve">Nacogdoches IDA </t>
  </si>
  <si>
    <t>East Texas Lee Container</t>
  </si>
  <si>
    <t>Nacodoches</t>
  </si>
  <si>
    <t>Canal Place Apartments</t>
  </si>
  <si>
    <t>Providence Place Apartments II</t>
  </si>
  <si>
    <t>Denton</t>
  </si>
  <si>
    <t>Texas State Affordable Housing Corporation</t>
  </si>
  <si>
    <t>Educators</t>
  </si>
  <si>
    <t>Remaning 2004CF to be allocated</t>
  </si>
  <si>
    <t>RECYCLED</t>
  </si>
  <si>
    <t>2003 TRADITIONAL CARRYFORWARD</t>
  </si>
  <si>
    <t>2002 TRADITIONAL CARRYFORWARD</t>
  </si>
  <si>
    <t>7/121/2005</t>
  </si>
  <si>
    <t>3014 / 3026</t>
  </si>
  <si>
    <t>Harris County</t>
  </si>
  <si>
    <t>Oakmoor (fka Airport Boulevard) Apartments</t>
  </si>
  <si>
    <t>Ennis</t>
  </si>
  <si>
    <t>2004 CF (600)</t>
  </si>
  <si>
    <t>MCC/MRB</t>
  </si>
  <si>
    <t>Mill City Frazier(Mill City Parc Apartments)</t>
  </si>
  <si>
    <t>Ennis Senior Estates</t>
  </si>
  <si>
    <t>Civil Service</t>
  </si>
  <si>
    <t xml:space="preserve">2004 CF (2.325) </t>
  </si>
  <si>
    <t>Hillcrest Manor Senior Community</t>
  </si>
  <si>
    <t>Northwest Central Texas HFC</t>
  </si>
  <si>
    <t>05-206</t>
  </si>
  <si>
    <t>Brazos River Authority</t>
  </si>
  <si>
    <t>El Paso HFC</t>
  </si>
  <si>
    <t>Logan's Pointe</t>
  </si>
  <si>
    <t>Baytown</t>
  </si>
  <si>
    <t>Cobblestone Manor</t>
  </si>
  <si>
    <t>Ft. Worth</t>
  </si>
  <si>
    <t>Graford</t>
  </si>
  <si>
    <t>Morris Sheppard Dam</t>
  </si>
  <si>
    <t>El Paso</t>
  </si>
  <si>
    <t>Aug</t>
  </si>
  <si>
    <t>Collapse</t>
  </si>
  <si>
    <t>August 15 Collapse</t>
  </si>
  <si>
    <t>June 1stCollapse</t>
  </si>
  <si>
    <t>Cambridge Villas Apartments</t>
  </si>
  <si>
    <t>Texas City</t>
  </si>
  <si>
    <t>Pflugerville</t>
  </si>
  <si>
    <t>Strategic Housing Finance Corporation of Travis County</t>
  </si>
  <si>
    <t>Sundance Apartments</t>
  </si>
  <si>
    <t>Red River Authority</t>
  </si>
  <si>
    <t>Panda Hereford Ethanol Disposal Facilities</t>
  </si>
  <si>
    <t>Hereford</t>
  </si>
  <si>
    <t xml:space="preserve">Harris Branch Apartments </t>
  </si>
  <si>
    <t>Shell Delayed Coker Unit</t>
  </si>
  <si>
    <t>Port Arthur</t>
  </si>
  <si>
    <t xml:space="preserve">Potranco Plaza </t>
  </si>
  <si>
    <t>Spring Branch on the Park Apartments</t>
  </si>
  <si>
    <t>Student Loans</t>
  </si>
  <si>
    <t>Total Capacity</t>
  </si>
  <si>
    <t>Mortgage Revenue Bonds</t>
  </si>
  <si>
    <t>Multifamily Housing</t>
  </si>
  <si>
    <t>Housing Not Broken out</t>
  </si>
  <si>
    <t>Exempt Facilities</t>
  </si>
  <si>
    <t>Mortgage Credit Certificates</t>
  </si>
  <si>
    <t>Carryforward Abandoned</t>
  </si>
  <si>
    <t>Submission</t>
  </si>
  <si>
    <t>2005 Cap</t>
  </si>
  <si>
    <t>Percentage over cap</t>
  </si>
  <si>
    <t>Carryforward to CY</t>
  </si>
  <si>
    <t>Growth relative to 2002  CF</t>
  </si>
  <si>
    <t>Growth relative to 2003 cap</t>
  </si>
  <si>
    <t>Growth  compared to total</t>
  </si>
  <si>
    <t>Arbor Court</t>
  </si>
  <si>
    <t>Heather Glen Apts</t>
  </si>
  <si>
    <t>05-224</t>
  </si>
  <si>
    <t>Sphinx at Alsbury Villas</t>
  </si>
  <si>
    <t>Burleson</t>
  </si>
  <si>
    <t>CF used</t>
  </si>
  <si>
    <t>State Voted Issues</t>
  </si>
  <si>
    <t>2002*</t>
  </si>
  <si>
    <t>2001*</t>
  </si>
  <si>
    <t>* Carryforwards are Estimated for 2002 &amp; 2001</t>
  </si>
  <si>
    <t>Coral Hills Apartments</t>
  </si>
  <si>
    <t xml:space="preserve">Greens Crossing Senior Village </t>
  </si>
  <si>
    <t>Bayview Apartments</t>
  </si>
  <si>
    <t>Beaumont HFC</t>
  </si>
  <si>
    <t>05-228</t>
  </si>
  <si>
    <t>Pear Orchard Apts.</t>
  </si>
  <si>
    <t>Beaumont</t>
  </si>
  <si>
    <t>Muleshoe EDC</t>
  </si>
  <si>
    <t>Muleshoe</t>
  </si>
  <si>
    <t>Villas at Bethel</t>
  </si>
  <si>
    <t>Artisan at Military</t>
  </si>
  <si>
    <t xml:space="preserve">Alamo Area HFC </t>
  </si>
  <si>
    <t>Comal Gardens Apartments</t>
  </si>
  <si>
    <t>New Braunfels</t>
  </si>
  <si>
    <t>Visser Family Trust Waste Disposal</t>
  </si>
  <si>
    <t xml:space="preserve">Oak Grove Electric </t>
  </si>
  <si>
    <t>Bremond</t>
  </si>
  <si>
    <t>Cobblestone Manor Senior Housing Community</t>
  </si>
  <si>
    <t>Providence Place II Apartments</t>
  </si>
  <si>
    <t>Denton HFC</t>
  </si>
  <si>
    <t>Townparc at Bastrop</t>
  </si>
  <si>
    <t>Bastrop HFC</t>
  </si>
  <si>
    <t>Conroe Lodge at Silverdale Apartment Homes</t>
  </si>
  <si>
    <t>Conroe</t>
  </si>
  <si>
    <t>Creekside Manor</t>
  </si>
  <si>
    <t>Sabine River Authority</t>
  </si>
  <si>
    <t xml:space="preserve">TXU Martin Lake </t>
  </si>
  <si>
    <t>Rusk</t>
  </si>
  <si>
    <t>Titus</t>
  </si>
  <si>
    <t>TXU Monticello</t>
  </si>
  <si>
    <t>TXU Big Brown</t>
  </si>
  <si>
    <t>TXU Oak Grove</t>
  </si>
  <si>
    <t>Freestone</t>
  </si>
  <si>
    <t>The Park at Oak Grove</t>
  </si>
  <si>
    <t>Marbach Manor Apartments</t>
  </si>
  <si>
    <t>Deerwood Lodge Apartments</t>
  </si>
  <si>
    <t>Skyline at Park City Apartments</t>
  </si>
  <si>
    <t>Red River Authority of Texas</t>
  </si>
  <si>
    <t>Panda Hereford Ethanol, LP</t>
  </si>
  <si>
    <t>Bella Vista Apartments</t>
  </si>
  <si>
    <t>Gainesville</t>
  </si>
  <si>
    <t>Village Park Apartments</t>
  </si>
  <si>
    <t>Generations at Mansfield Apartments</t>
  </si>
  <si>
    <t>Mansfield</t>
  </si>
  <si>
    <t>Havens at Mansfield</t>
  </si>
  <si>
    <t>The Oakmoor Apartments</t>
  </si>
  <si>
    <t>2005 NON-TRADITIONAL CARRYFORWARD</t>
  </si>
  <si>
    <t>Tarrant County</t>
  </si>
  <si>
    <t>DESIGNATED</t>
  </si>
  <si>
    <t>Pleasant Creek Corners</t>
  </si>
  <si>
    <t>Lancaster</t>
  </si>
  <si>
    <t>2004 CF</t>
  </si>
  <si>
    <t>2003 CF</t>
  </si>
  <si>
    <t>CF to next year</t>
  </si>
  <si>
    <t xml:space="preserve">Available After using Carryforward </t>
  </si>
  <si>
    <t>DESGNATION</t>
  </si>
  <si>
    <t>2004 CF 3102 closed</t>
  </si>
  <si>
    <t>FEE</t>
  </si>
  <si>
    <t>x</t>
  </si>
  <si>
    <t>CFx</t>
  </si>
  <si>
    <t>2002CF</t>
  </si>
  <si>
    <t xml:space="preserve">Total carryforward </t>
  </si>
  <si>
    <t>05CF-001</t>
  </si>
  <si>
    <t>EXPIRE</t>
  </si>
  <si>
    <t>05CF-002</t>
  </si>
  <si>
    <t>05CF-003</t>
  </si>
  <si>
    <t>05CF-004</t>
  </si>
  <si>
    <t>05CF-005</t>
  </si>
  <si>
    <t>SE 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</si>
</sst>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.00"/>
    <numFmt numFmtId="166" formatCode="&quot;$&quot;#,##0"/>
    <numFmt numFmtId="167" formatCode="m/d"/>
    <numFmt numFmtId="168" formatCode="&quot;$&quot;#,##0.0"/>
    <numFmt numFmtId="170" formatCode="mm/dd/yy"/>
    <numFmt numFmtId="171" formatCode="0.0000%"/>
    <numFmt numFmtId="172" formatCode="_(&quot;$&quot;* #,##0.00_);_(&quot;$&quot;* \(#,##0.00\);_(&quot;$&quot;* &quot;-&quot;_);_(@_)"/>
    <numFmt numFmtId="173" formatCode="0.0%"/>
    <numFmt numFmtId="175" formatCode="_(&quot;$&quot;* #,##0.0_);_(&quot;$&quot;* \(#,##0.0\);_(&quot;$&quot;* &quot;-&quot;??_);_(@_)"/>
    <numFmt numFmtId="180" formatCode="_(&quot;$&quot;* #,##0.00000_);_(&quot;$&quot;* \(#,##0.00000\);_(&quot;$&quot;* &quot;-&quot;?????_);_(@_)"/>
    <numFmt numFmtId="181" formatCode="_(&quot;$&quot;* #,##0.000_);_(&quot;$&quot;* \(#,##0.000\);_(&quot;$&quot;* &quot;-&quot;??_);_(@_)"/>
    <numFmt numFmtId="189" formatCode="_(* #,##0_);_(* \(#,##0\);_(* &quot;-&quot;??_);_(@_)"/>
    <numFmt numFmtId="202" formatCode="_(&quot;$&quot;* #,##0.00_);_(&quot;$&quot;* \(#,##0.00\);_(&quot;$&quot;* &quot;-&quot;?????_);_(@_)"/>
    <numFmt numFmtId="204" formatCode="mm/dd/yy;@"/>
  </numFmts>
  <fonts count="21">
    <font>
      <sz val="9"/>
      <name val="Geneva"/>
    </font>
    <font>
      <b/>
      <sz val="9"/>
      <name val="Geneva"/>
    </font>
    <font>
      <i/>
      <sz val="9"/>
      <name val="Geneva"/>
    </font>
    <font>
      <sz val="9"/>
      <name val="Geneva"/>
    </font>
    <font>
      <sz val="9"/>
      <name val="Helv"/>
    </font>
    <font>
      <b/>
      <sz val="9"/>
      <name val="Helv"/>
    </font>
    <font>
      <sz val="8"/>
      <name val="Geneva"/>
    </font>
    <font>
      <sz val="9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name val="Geneva"/>
    </font>
    <font>
      <u/>
      <sz val="9"/>
      <name val="Times New Roman"/>
      <family val="1"/>
    </font>
    <font>
      <u val="singleAccounting"/>
      <sz val="9"/>
      <name val="Times New Roman"/>
      <family val="1"/>
    </font>
    <font>
      <sz val="12"/>
      <name val="Helvetica"/>
    </font>
    <font>
      <b/>
      <u/>
      <sz val="9"/>
      <name val="Times New Roman"/>
      <family val="1"/>
    </font>
    <font>
      <b/>
      <sz val="9"/>
      <color indexed="12"/>
      <name val="Times New Roman"/>
      <family val="1"/>
    </font>
    <font>
      <b/>
      <sz val="9"/>
      <color indexed="10"/>
      <name val="Times New Roman"/>
      <family val="1"/>
    </font>
    <font>
      <b/>
      <u/>
      <sz val="9"/>
      <color indexed="12"/>
      <name val="Times New Roman"/>
      <family val="1"/>
    </font>
    <font>
      <sz val="9"/>
      <color indexed="10"/>
      <name val="Times New Roman"/>
      <family val="1"/>
    </font>
    <font>
      <b/>
      <i/>
      <sz val="9"/>
      <name val="Times New Roman"/>
      <family val="1"/>
    </font>
    <font>
      <b/>
      <sz val="9"/>
      <color indexed="10"/>
      <name val="Geneva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</borders>
  <cellStyleXfs count="4">
    <xf numFmtId="0" fontId="0" fillId="0" borderId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05">
    <xf numFmtId="0" fontId="0" fillId="0" borderId="0" xfId="0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5" fontId="5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14" fontId="5" fillId="0" borderId="2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5" fontId="5" fillId="0" borderId="0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5" fillId="0" borderId="1" xfId="0" applyFont="1" applyBorder="1" applyAlignment="1">
      <alignment horizontal="center"/>
    </xf>
    <xf numFmtId="164" fontId="4" fillId="0" borderId="0" xfId="1" applyNumberFormat="1" applyFont="1" applyAlignment="1">
      <alignment horizontal="center"/>
    </xf>
    <xf numFmtId="14" fontId="5" fillId="0" borderId="3" xfId="0" applyNumberFormat="1" applyFont="1" applyBorder="1" applyAlignment="1">
      <alignment horizontal="center"/>
    </xf>
    <xf numFmtId="14" fontId="5" fillId="0" borderId="4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4" fontId="5" fillId="0" borderId="7" xfId="0" applyNumberFormat="1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44" fontId="4" fillId="0" borderId="0" xfId="1" applyNumberFormat="1" applyFont="1" applyAlignment="1">
      <alignment horizontal="center"/>
    </xf>
    <xf numFmtId="44" fontId="4" fillId="0" borderId="0" xfId="1" applyNumberFormat="1" applyFont="1" applyBorder="1" applyAlignment="1">
      <alignment horizontal="center"/>
    </xf>
    <xf numFmtId="165" fontId="4" fillId="0" borderId="0" xfId="1" applyFont="1" applyAlignment="1">
      <alignment horizontal="center"/>
    </xf>
    <xf numFmtId="165" fontId="4" fillId="0" borderId="1" xfId="1" applyFont="1" applyBorder="1" applyAlignment="1">
      <alignment horizontal="center"/>
    </xf>
    <xf numFmtId="165" fontId="5" fillId="0" borderId="0" xfId="1" applyFont="1" applyAlignment="1">
      <alignment horizontal="center"/>
    </xf>
    <xf numFmtId="165" fontId="5" fillId="0" borderId="2" xfId="1" applyFont="1" applyBorder="1" applyAlignment="1">
      <alignment horizontal="center"/>
    </xf>
    <xf numFmtId="165" fontId="5" fillId="0" borderId="0" xfId="1" applyFont="1" applyBorder="1" applyAlignment="1">
      <alignment horizontal="center"/>
    </xf>
    <xf numFmtId="165" fontId="4" fillId="0" borderId="0" xfId="1" applyFont="1" applyBorder="1" applyAlignment="1">
      <alignment horizontal="center"/>
    </xf>
    <xf numFmtId="44" fontId="4" fillId="0" borderId="1" xfId="1" applyNumberFormat="1" applyFont="1" applyBorder="1" applyAlignment="1">
      <alignment horizontal="center"/>
    </xf>
    <xf numFmtId="44" fontId="5" fillId="0" borderId="2" xfId="1" applyNumberFormat="1" applyFont="1" applyBorder="1" applyAlignment="1">
      <alignment horizontal="center"/>
    </xf>
    <xf numFmtId="44" fontId="4" fillId="0" borderId="0" xfId="0" applyNumberFormat="1" applyFont="1" applyBorder="1" applyAlignment="1">
      <alignment horizontal="center"/>
    </xf>
    <xf numFmtId="44" fontId="5" fillId="0" borderId="0" xfId="0" applyNumberFormat="1" applyFont="1" applyAlignment="1">
      <alignment horizontal="center"/>
    </xf>
    <xf numFmtId="44" fontId="4" fillId="0" borderId="0" xfId="0" applyNumberFormat="1" applyFont="1" applyAlignment="1">
      <alignment horizontal="center"/>
    </xf>
    <xf numFmtId="44" fontId="5" fillId="0" borderId="0" xfId="1" applyNumberFormat="1" applyFont="1" applyBorder="1" applyAlignment="1">
      <alignment horizontal="center"/>
    </xf>
    <xf numFmtId="165" fontId="5" fillId="0" borderId="0" xfId="0" applyNumberFormat="1" applyFont="1" applyAlignment="1">
      <alignment horizontal="center"/>
    </xf>
    <xf numFmtId="6" fontId="0" fillId="0" borderId="0" xfId="0" applyNumberFormat="1"/>
    <xf numFmtId="14" fontId="3" fillId="0" borderId="0" xfId="0" applyNumberFormat="1" applyFont="1"/>
    <xf numFmtId="0" fontId="7" fillId="0" borderId="0" xfId="0" applyFont="1"/>
    <xf numFmtId="166" fontId="7" fillId="0" borderId="0" xfId="1" applyNumberFormat="1" applyFont="1"/>
    <xf numFmtId="14" fontId="7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center"/>
    </xf>
    <xf numFmtId="164" fontId="8" fillId="0" borderId="0" xfId="1" applyNumberFormat="1" applyFont="1" applyAlignment="1">
      <alignment horizontal="center"/>
    </xf>
    <xf numFmtId="14" fontId="8" fillId="0" borderId="0" xfId="0" applyNumberFormat="1" applyFont="1" applyAlignment="1">
      <alignment horizontal="center"/>
    </xf>
    <xf numFmtId="166" fontId="8" fillId="0" borderId="0" xfId="1" applyNumberFormat="1" applyFont="1" applyAlignment="1">
      <alignment horizontal="center"/>
    </xf>
    <xf numFmtId="166" fontId="8" fillId="0" borderId="0" xfId="1" applyNumberFormat="1" applyFont="1" applyAlignment="1">
      <alignment horizontal="right"/>
    </xf>
    <xf numFmtId="14" fontId="8" fillId="0" borderId="0" xfId="0" applyNumberFormat="1" applyFont="1"/>
    <xf numFmtId="14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170" fontId="7" fillId="0" borderId="0" xfId="0" applyNumberFormat="1" applyFont="1" applyBorder="1"/>
    <xf numFmtId="6" fontId="7" fillId="0" borderId="0" xfId="0" applyNumberFormat="1" applyFont="1"/>
    <xf numFmtId="164" fontId="7" fillId="0" borderId="0" xfId="0" applyNumberFormat="1" applyFont="1"/>
    <xf numFmtId="164" fontId="7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center"/>
    </xf>
    <xf numFmtId="165" fontId="7" fillId="0" borderId="0" xfId="1" applyFont="1" applyAlignment="1">
      <alignment horizontal="center"/>
    </xf>
    <xf numFmtId="0" fontId="7" fillId="0" borderId="0" xfId="0" applyFont="1" applyAlignment="1">
      <alignment horizontal="center"/>
    </xf>
    <xf numFmtId="10" fontId="7" fillId="0" borderId="0" xfId="3" applyNumberFormat="1" applyFont="1"/>
    <xf numFmtId="0" fontId="7" fillId="0" borderId="0" xfId="0" applyFont="1" applyAlignment="1">
      <alignment horizontal="right"/>
    </xf>
    <xf numFmtId="10" fontId="7" fillId="0" borderId="0" xfId="3" applyNumberFormat="1" applyFont="1" applyAlignment="1">
      <alignment horizontal="center"/>
    </xf>
    <xf numFmtId="0" fontId="8" fillId="0" borderId="8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5" fontId="8" fillId="0" borderId="1" xfId="0" applyNumberFormat="1" applyFont="1" applyBorder="1" applyAlignment="1">
      <alignment horizontal="center"/>
    </xf>
    <xf numFmtId="164" fontId="7" fillId="0" borderId="1" xfId="1" applyNumberFormat="1" applyFont="1" applyBorder="1" applyAlignment="1">
      <alignment horizontal="center"/>
    </xf>
    <xf numFmtId="164" fontId="8" fillId="0" borderId="1" xfId="2" applyNumberFormat="1" applyFont="1" applyBorder="1" applyAlignment="1">
      <alignment horizontal="right"/>
    </xf>
    <xf numFmtId="5" fontId="7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14" fontId="8" fillId="0" borderId="3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5" fontId="8" fillId="0" borderId="0" xfId="0" applyNumberFormat="1" applyFont="1" applyBorder="1" applyAlignment="1">
      <alignment horizontal="center"/>
    </xf>
    <xf numFmtId="164" fontId="7" fillId="0" borderId="0" xfId="1" applyNumberFormat="1" applyFont="1" applyBorder="1" applyAlignment="1">
      <alignment horizontal="center"/>
    </xf>
    <xf numFmtId="164" fontId="8" fillId="0" borderId="0" xfId="2" applyNumberFormat="1" applyFont="1" applyBorder="1" applyAlignment="1">
      <alignment horizontal="right"/>
    </xf>
    <xf numFmtId="7" fontId="7" fillId="0" borderId="0" xfId="0" applyNumberFormat="1" applyFont="1" applyBorder="1" applyAlignment="1">
      <alignment horizontal="center"/>
    </xf>
    <xf numFmtId="14" fontId="7" fillId="0" borderId="0" xfId="0" applyNumberFormat="1" applyFont="1" applyBorder="1" applyAlignment="1">
      <alignment horizontal="center"/>
    </xf>
    <xf numFmtId="14" fontId="8" fillId="0" borderId="4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1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0" xfId="0" applyFont="1" applyBorder="1"/>
    <xf numFmtId="164" fontId="7" fillId="0" borderId="0" xfId="0" applyNumberFormat="1" applyFont="1" applyBorder="1"/>
    <xf numFmtId="14" fontId="7" fillId="0" borderId="0" xfId="0" applyNumberFormat="1" applyFont="1" applyBorder="1"/>
    <xf numFmtId="14" fontId="8" fillId="0" borderId="0" xfId="0" applyNumberFormat="1" applyFont="1" applyBorder="1"/>
    <xf numFmtId="170" fontId="8" fillId="0" borderId="0" xfId="0" applyNumberFormat="1" applyFont="1" applyFill="1" applyBorder="1"/>
    <xf numFmtId="164" fontId="7" fillId="0" borderId="9" xfId="0" applyNumberFormat="1" applyFont="1" applyBorder="1"/>
    <xf numFmtId="164" fontId="7" fillId="0" borderId="0" xfId="1" applyNumberFormat="1" applyFont="1" applyAlignment="1">
      <alignment horizontal="center"/>
    </xf>
    <xf numFmtId="44" fontId="7" fillId="0" borderId="0" xfId="1" applyNumberFormat="1" applyFont="1" applyAlignment="1">
      <alignment horizontal="center"/>
    </xf>
    <xf numFmtId="7" fontId="7" fillId="0" borderId="0" xfId="0" applyNumberFormat="1" applyFont="1"/>
    <xf numFmtId="168" fontId="7" fillId="0" borderId="0" xfId="1" applyNumberFormat="1" applyFont="1"/>
    <xf numFmtId="5" fontId="7" fillId="0" borderId="0" xfId="0" applyNumberFormat="1" applyFont="1" applyBorder="1" applyAlignment="1">
      <alignment horizontal="center"/>
    </xf>
    <xf numFmtId="0" fontId="7" fillId="0" borderId="1" xfId="0" applyFont="1" applyBorder="1"/>
    <xf numFmtId="0" fontId="8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5" fontId="8" fillId="0" borderId="2" xfId="0" applyNumberFormat="1" applyFon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14" fontId="8" fillId="0" borderId="7" xfId="0" applyNumberFormat="1" applyFont="1" applyBorder="1" applyAlignment="1">
      <alignment horizontal="center"/>
    </xf>
    <xf numFmtId="166" fontId="7" fillId="0" borderId="0" xfId="1" applyNumberFormat="1" applyFont="1" applyAlignment="1">
      <alignment horizontal="right"/>
    </xf>
    <xf numFmtId="166" fontId="7" fillId="0" borderId="0" xfId="1" applyNumberFormat="1" applyFont="1" applyBorder="1" applyAlignment="1">
      <alignment horizontal="right"/>
    </xf>
    <xf numFmtId="5" fontId="7" fillId="0" borderId="2" xfId="0" applyNumberFormat="1" applyFont="1" applyBorder="1" applyAlignment="1">
      <alignment horizontal="center"/>
    </xf>
    <xf numFmtId="5" fontId="7" fillId="0" borderId="0" xfId="0" applyNumberFormat="1" applyFont="1" applyAlignment="1">
      <alignment horizontal="center"/>
    </xf>
    <xf numFmtId="5" fontId="8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165" fontId="7" fillId="0" borderId="1" xfId="1" applyFont="1" applyBorder="1" applyAlignment="1">
      <alignment horizontal="center"/>
    </xf>
    <xf numFmtId="44" fontId="7" fillId="0" borderId="1" xfId="1" applyNumberFormat="1" applyFont="1" applyBorder="1" applyAlignment="1">
      <alignment horizontal="center"/>
    </xf>
    <xf numFmtId="165" fontId="7" fillId="0" borderId="0" xfId="1" applyFont="1" applyBorder="1" applyAlignment="1">
      <alignment horizontal="center"/>
    </xf>
    <xf numFmtId="44" fontId="7" fillId="0" borderId="0" xfId="1" applyNumberFormat="1" applyFont="1" applyBorder="1" applyAlignment="1">
      <alignment horizontal="center"/>
    </xf>
    <xf numFmtId="165" fontId="8" fillId="0" borderId="0" xfId="1" applyFont="1" applyBorder="1" applyAlignment="1">
      <alignment horizontal="center"/>
    </xf>
    <xf numFmtId="44" fontId="8" fillId="0" borderId="0" xfId="1" applyNumberFormat="1" applyFont="1" applyBorder="1" applyAlignment="1">
      <alignment horizontal="center"/>
    </xf>
    <xf numFmtId="165" fontId="8" fillId="0" borderId="2" xfId="1" applyFont="1" applyBorder="1" applyAlignment="1">
      <alignment horizontal="center"/>
    </xf>
    <xf numFmtId="44" fontId="8" fillId="0" borderId="2" xfId="1" applyNumberFormat="1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165" fontId="8" fillId="0" borderId="0" xfId="1" applyFont="1" applyAlignment="1">
      <alignment horizontal="center"/>
    </xf>
    <xf numFmtId="165" fontId="7" fillId="0" borderId="2" xfId="1" applyFont="1" applyBorder="1" applyAlignment="1">
      <alignment horizontal="center"/>
    </xf>
    <xf numFmtId="44" fontId="7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44" fontId="8" fillId="0" borderId="0" xfId="0" applyNumberFormat="1" applyFont="1" applyAlignment="1">
      <alignment horizontal="center"/>
    </xf>
    <xf numFmtId="165" fontId="7" fillId="0" borderId="1" xfId="1" applyFont="1" applyBorder="1" applyAlignment="1">
      <alignment horizontal="right"/>
    </xf>
    <xf numFmtId="165" fontId="8" fillId="0" borderId="0" xfId="1" applyFont="1" applyBorder="1" applyAlignment="1">
      <alignment horizontal="right"/>
    </xf>
    <xf numFmtId="165" fontId="7" fillId="0" borderId="0" xfId="1" applyFont="1" applyBorder="1" applyAlignment="1">
      <alignment horizontal="right"/>
    </xf>
    <xf numFmtId="165" fontId="8" fillId="0" borderId="2" xfId="1" applyFont="1" applyBorder="1" applyAlignment="1">
      <alignment horizontal="right"/>
    </xf>
    <xf numFmtId="165" fontId="7" fillId="0" borderId="0" xfId="1" applyFont="1" applyAlignment="1">
      <alignment horizontal="right"/>
    </xf>
    <xf numFmtId="166" fontId="7" fillId="0" borderId="0" xfId="1" applyNumberFormat="1" applyFont="1" applyAlignment="1"/>
    <xf numFmtId="164" fontId="8" fillId="0" borderId="0" xfId="0" applyNumberFormat="1" applyFont="1"/>
    <xf numFmtId="166" fontId="8" fillId="0" borderId="0" xfId="1" applyNumberFormat="1" applyFont="1" applyAlignment="1"/>
    <xf numFmtId="164" fontId="7" fillId="0" borderId="0" xfId="0" applyNumberFormat="1" applyFont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165" fontId="8" fillId="0" borderId="0" xfId="1" applyFont="1" applyAlignment="1">
      <alignment horizontal="right"/>
    </xf>
    <xf numFmtId="166" fontId="7" fillId="0" borderId="1" xfId="1" applyNumberFormat="1" applyFont="1" applyBorder="1" applyAlignment="1">
      <alignment horizontal="center"/>
    </xf>
    <xf numFmtId="166" fontId="7" fillId="0" borderId="0" xfId="1" applyNumberFormat="1" applyFont="1" applyBorder="1" applyAlignment="1">
      <alignment horizontal="center"/>
    </xf>
    <xf numFmtId="166" fontId="8" fillId="0" borderId="0" xfId="1" applyNumberFormat="1" applyFont="1" applyBorder="1" applyAlignment="1">
      <alignment horizontal="center"/>
    </xf>
    <xf numFmtId="164" fontId="8" fillId="0" borderId="2" xfId="1" applyNumberFormat="1" applyFont="1" applyBorder="1" applyAlignment="1">
      <alignment horizontal="center"/>
    </xf>
    <xf numFmtId="166" fontId="8" fillId="0" borderId="2" xfId="1" applyNumberFormat="1" applyFont="1" applyBorder="1" applyAlignment="1">
      <alignment horizontal="center"/>
    </xf>
    <xf numFmtId="166" fontId="7" fillId="0" borderId="0" xfId="1" applyNumberFormat="1" applyFont="1" applyAlignment="1">
      <alignment horizontal="center"/>
    </xf>
    <xf numFmtId="166" fontId="7" fillId="0" borderId="2" xfId="1" applyNumberFormat="1" applyFont="1" applyBorder="1" applyAlignment="1">
      <alignment horizontal="center"/>
    </xf>
    <xf numFmtId="0" fontId="8" fillId="0" borderId="0" xfId="0" applyFont="1" applyAlignment="1">
      <alignment horizontal="right"/>
    </xf>
    <xf numFmtId="166" fontId="7" fillId="0" borderId="1" xfId="1" applyNumberFormat="1" applyFont="1" applyBorder="1" applyAlignment="1">
      <alignment horizontal="right"/>
    </xf>
    <xf numFmtId="164" fontId="7" fillId="0" borderId="1" xfId="1" applyNumberFormat="1" applyFont="1" applyBorder="1" applyAlignment="1">
      <alignment horizontal="right"/>
    </xf>
    <xf numFmtId="164" fontId="7" fillId="0" borderId="0" xfId="1" applyNumberFormat="1" applyFont="1" applyBorder="1" applyAlignment="1">
      <alignment horizontal="right"/>
    </xf>
    <xf numFmtId="166" fontId="8" fillId="0" borderId="2" xfId="1" applyNumberFormat="1" applyFont="1" applyBorder="1" applyAlignment="1">
      <alignment horizontal="right"/>
    </xf>
    <xf numFmtId="164" fontId="7" fillId="0" borderId="0" xfId="1" applyNumberFormat="1" applyFont="1" applyAlignment="1">
      <alignment horizontal="right"/>
    </xf>
    <xf numFmtId="164" fontId="8" fillId="0" borderId="0" xfId="1" applyNumberFormat="1" applyFont="1" applyAlignment="1">
      <alignment horizontal="right"/>
    </xf>
    <xf numFmtId="6" fontId="7" fillId="0" borderId="0" xfId="0" applyNumberFormat="1" applyFont="1" applyAlignment="1">
      <alignment horizontal="center"/>
    </xf>
    <xf numFmtId="14" fontId="7" fillId="0" borderId="0" xfId="0" applyNumberFormat="1" applyFont="1" applyBorder="1" applyAlignment="1">
      <alignment horizontal="right"/>
    </xf>
    <xf numFmtId="166" fontId="8" fillId="0" borderId="0" xfId="1" applyNumberFormat="1" applyFont="1" applyBorder="1" applyAlignment="1">
      <alignment horizontal="right"/>
    </xf>
    <xf numFmtId="42" fontId="8" fillId="0" borderId="0" xfId="1" applyNumberFormat="1" applyFont="1" applyAlignment="1">
      <alignment horizontal="right"/>
    </xf>
    <xf numFmtId="166" fontId="7" fillId="0" borderId="2" xfId="1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167" fontId="7" fillId="0" borderId="0" xfId="0" applyNumberFormat="1" applyFont="1" applyBorder="1" applyAlignment="1">
      <alignment horizontal="center"/>
    </xf>
    <xf numFmtId="167" fontId="8" fillId="0" borderId="0" xfId="0" applyNumberFormat="1" applyFont="1" applyBorder="1" applyAlignment="1">
      <alignment horizontal="center"/>
    </xf>
    <xf numFmtId="167" fontId="8" fillId="0" borderId="2" xfId="0" applyNumberFormat="1" applyFont="1" applyBorder="1" applyAlignment="1">
      <alignment horizontal="center"/>
    </xf>
    <xf numFmtId="167" fontId="7" fillId="0" borderId="0" xfId="0" applyNumberFormat="1" applyFont="1" applyAlignment="1">
      <alignment horizontal="center"/>
    </xf>
    <xf numFmtId="42" fontId="7" fillId="0" borderId="0" xfId="1" applyNumberFormat="1" applyFont="1" applyAlignment="1">
      <alignment horizontal="center"/>
    </xf>
    <xf numFmtId="42" fontId="8" fillId="0" borderId="0" xfId="1" applyNumberFormat="1" applyFont="1" applyBorder="1" applyAlignment="1">
      <alignment horizontal="right"/>
    </xf>
    <xf numFmtId="42" fontId="7" fillId="0" borderId="0" xfId="1" applyNumberFormat="1" applyFont="1" applyBorder="1" applyAlignment="1">
      <alignment horizontal="right"/>
    </xf>
    <xf numFmtId="42" fontId="7" fillId="0" borderId="0" xfId="0" applyNumberFormat="1" applyFont="1" applyBorder="1" applyAlignment="1">
      <alignment horizontal="right"/>
    </xf>
    <xf numFmtId="42" fontId="7" fillId="0" borderId="0" xfId="1" applyNumberFormat="1" applyFont="1" applyAlignment="1">
      <alignment horizontal="right"/>
    </xf>
    <xf numFmtId="0" fontId="7" fillId="0" borderId="0" xfId="0" applyFont="1" applyFill="1" applyBorder="1"/>
    <xf numFmtId="42" fontId="7" fillId="0" borderId="0" xfId="1" applyNumberFormat="1" applyFont="1" applyBorder="1" applyAlignment="1">
      <alignment horizontal="center"/>
    </xf>
    <xf numFmtId="42" fontId="7" fillId="0" borderId="0" xfId="0" applyNumberFormat="1" applyFont="1" applyBorder="1" applyAlignment="1">
      <alignment horizontal="center"/>
    </xf>
    <xf numFmtId="42" fontId="7" fillId="0" borderId="9" xfId="1" applyNumberFormat="1" applyFont="1" applyBorder="1" applyAlignment="1">
      <alignment horizontal="center"/>
    </xf>
    <xf numFmtId="164" fontId="7" fillId="0" borderId="9" xfId="1" applyNumberFormat="1" applyFont="1" applyBorder="1" applyAlignment="1">
      <alignment horizontal="center"/>
    </xf>
    <xf numFmtId="44" fontId="7" fillId="0" borderId="9" xfId="1" applyNumberFormat="1" applyFont="1" applyBorder="1" applyAlignment="1">
      <alignment horizontal="center"/>
    </xf>
    <xf numFmtId="42" fontId="7" fillId="0" borderId="0" xfId="0" applyNumberFormat="1" applyFont="1" applyAlignment="1">
      <alignment horizontal="center"/>
    </xf>
    <xf numFmtId="42" fontId="8" fillId="0" borderId="0" xfId="0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164" fontId="7" fillId="0" borderId="1" xfId="2" applyNumberFormat="1" applyFont="1" applyBorder="1" applyAlignment="1">
      <alignment horizontal="center"/>
    </xf>
    <xf numFmtId="164" fontId="8" fillId="0" borderId="1" xfId="2" applyNumberFormat="1" applyFont="1" applyBorder="1" applyAlignment="1">
      <alignment horizontal="center"/>
    </xf>
    <xf numFmtId="164" fontId="7" fillId="0" borderId="0" xfId="2" applyNumberFormat="1" applyFont="1" applyBorder="1" applyAlignment="1">
      <alignment horizontal="center"/>
    </xf>
    <xf numFmtId="44" fontId="7" fillId="0" borderId="0" xfId="2" applyNumberFormat="1" applyFont="1" applyBorder="1" applyAlignment="1">
      <alignment horizontal="center"/>
    </xf>
    <xf numFmtId="14" fontId="7" fillId="0" borderId="4" xfId="0" applyNumberFormat="1" applyFont="1" applyBorder="1" applyAlignment="1">
      <alignment horizontal="center"/>
    </xf>
    <xf numFmtId="42" fontId="8" fillId="0" borderId="0" xfId="1" applyNumberFormat="1" applyFont="1" applyAlignment="1">
      <alignment horizontal="center"/>
    </xf>
    <xf numFmtId="164" fontId="8" fillId="0" borderId="0" xfId="2" applyNumberFormat="1" applyFont="1" applyBorder="1" applyAlignment="1">
      <alignment horizontal="center"/>
    </xf>
    <xf numFmtId="44" fontId="8" fillId="0" borderId="0" xfId="2" applyNumberFormat="1" applyFont="1" applyBorder="1" applyAlignment="1">
      <alignment horizontal="center"/>
    </xf>
    <xf numFmtId="164" fontId="8" fillId="0" borderId="2" xfId="2" applyNumberFormat="1" applyFont="1" applyBorder="1" applyAlignment="1">
      <alignment horizontal="center"/>
    </xf>
    <xf numFmtId="44" fontId="8" fillId="0" borderId="2" xfId="2" applyNumberFormat="1" applyFont="1" applyBorder="1" applyAlignment="1">
      <alignment horizontal="center"/>
    </xf>
    <xf numFmtId="42" fontId="7" fillId="0" borderId="0" xfId="1" applyNumberFormat="1" applyFont="1"/>
    <xf numFmtId="42" fontId="8" fillId="0" borderId="0" xfId="0" applyNumberFormat="1" applyFont="1"/>
    <xf numFmtId="42" fontId="8" fillId="0" borderId="0" xfId="1" applyNumberFormat="1" applyFont="1"/>
    <xf numFmtId="42" fontId="7" fillId="0" borderId="0" xfId="0" applyNumberFormat="1" applyFont="1"/>
    <xf numFmtId="42" fontId="8" fillId="0" borderId="0" xfId="0" applyNumberFormat="1" applyFont="1" applyBorder="1"/>
    <xf numFmtId="164" fontId="8" fillId="0" borderId="9" xfId="0" applyNumberFormat="1" applyFont="1" applyBorder="1"/>
    <xf numFmtId="44" fontId="7" fillId="0" borderId="0" xfId="0" applyNumberFormat="1" applyFont="1" applyBorder="1"/>
    <xf numFmtId="5" fontId="7" fillId="0" borderId="0" xfId="0" applyNumberFormat="1" applyFont="1"/>
    <xf numFmtId="4" fontId="7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center"/>
    </xf>
    <xf numFmtId="8" fontId="7" fillId="0" borderId="0" xfId="0" applyNumberFormat="1" applyFont="1" applyAlignment="1">
      <alignment horizontal="center"/>
    </xf>
    <xf numFmtId="164" fontId="7" fillId="0" borderId="9" xfId="0" applyNumberFormat="1" applyFont="1" applyBorder="1" applyAlignment="1">
      <alignment horizontal="center"/>
    </xf>
    <xf numFmtId="42" fontId="7" fillId="0" borderId="0" xfId="1" applyNumberFormat="1" applyFont="1" applyBorder="1"/>
    <xf numFmtId="42" fontId="7" fillId="0" borderId="0" xfId="0" applyNumberFormat="1" applyFont="1" applyBorder="1"/>
    <xf numFmtId="42" fontId="7" fillId="0" borderId="9" xfId="0" applyNumberFormat="1" applyFont="1" applyBorder="1"/>
    <xf numFmtId="43" fontId="7" fillId="0" borderId="0" xfId="0" applyNumberFormat="1" applyFont="1"/>
    <xf numFmtId="44" fontId="7" fillId="0" borderId="0" xfId="0" applyNumberFormat="1" applyFont="1" applyAlignment="1">
      <alignment horizontal="right"/>
    </xf>
    <xf numFmtId="44" fontId="7" fillId="0" borderId="0" xfId="0" applyNumberFormat="1" applyFont="1"/>
    <xf numFmtId="0" fontId="8" fillId="0" borderId="2" xfId="0" applyFont="1" applyBorder="1" applyAlignment="1">
      <alignment horizontal="left"/>
    </xf>
    <xf numFmtId="14" fontId="7" fillId="0" borderId="2" xfId="0" applyNumberFormat="1" applyFont="1" applyBorder="1" applyAlignment="1">
      <alignment horizontal="center"/>
    </xf>
    <xf numFmtId="164" fontId="7" fillId="0" borderId="2" xfId="1" applyNumberFormat="1" applyFont="1" applyBorder="1" applyAlignment="1">
      <alignment horizontal="right"/>
    </xf>
    <xf numFmtId="14" fontId="7" fillId="0" borderId="7" xfId="0" applyNumberFormat="1" applyFont="1" applyBorder="1" applyAlignment="1">
      <alignment horizontal="center"/>
    </xf>
    <xf numFmtId="42" fontId="8" fillId="0" borderId="0" xfId="1" applyNumberFormat="1" applyFont="1" applyBorder="1" applyAlignment="1">
      <alignment horizontal="center"/>
    </xf>
    <xf numFmtId="42" fontId="7" fillId="0" borderId="9" xfId="1" applyNumberFormat="1" applyFont="1" applyBorder="1" applyAlignment="1">
      <alignment horizontal="right"/>
    </xf>
    <xf numFmtId="42" fontId="7" fillId="0" borderId="0" xfId="1" applyNumberFormat="1" applyFont="1" applyAlignment="1"/>
    <xf numFmtId="42" fontId="8" fillId="0" borderId="0" xfId="1" applyNumberFormat="1" applyFont="1" applyAlignment="1"/>
    <xf numFmtId="42" fontId="7" fillId="0" borderId="9" xfId="1" applyNumberFormat="1" applyFont="1" applyBorder="1" applyAlignment="1"/>
    <xf numFmtId="164" fontId="7" fillId="0" borderId="9" xfId="0" applyNumberFormat="1" applyFont="1" applyBorder="1" applyAlignment="1">
      <alignment horizontal="right"/>
    </xf>
    <xf numFmtId="170" fontId="9" fillId="0" borderId="0" xfId="0" applyNumberFormat="1" applyFont="1" applyBorder="1" applyAlignment="1">
      <alignment horizontal="center"/>
    </xf>
    <xf numFmtId="165" fontId="7" fillId="0" borderId="1" xfId="1" applyFont="1" applyBorder="1" applyAlignment="1">
      <alignment horizontal="left"/>
    </xf>
    <xf numFmtId="42" fontId="7" fillId="0" borderId="1" xfId="1" applyNumberFormat="1" applyFont="1" applyBorder="1" applyAlignment="1">
      <alignment horizontal="right"/>
    </xf>
    <xf numFmtId="42" fontId="7" fillId="0" borderId="9" xfId="0" applyNumberFormat="1" applyFont="1" applyBorder="1" applyAlignment="1">
      <alignment horizontal="center"/>
    </xf>
    <xf numFmtId="42" fontId="8" fillId="0" borderId="0" xfId="0" applyNumberFormat="1" applyFont="1" applyAlignment="1">
      <alignment horizontal="right"/>
    </xf>
    <xf numFmtId="14" fontId="8" fillId="0" borderId="0" xfId="0" applyNumberFormat="1" applyFont="1" applyAlignment="1">
      <alignment horizontal="left"/>
    </xf>
    <xf numFmtId="5" fontId="7" fillId="0" borderId="0" xfId="1" applyNumberFormat="1" applyFont="1" applyBorder="1" applyAlignment="1">
      <alignment horizontal="center"/>
    </xf>
    <xf numFmtId="0" fontId="7" fillId="0" borderId="10" xfId="0" applyFont="1" applyBorder="1"/>
    <xf numFmtId="44" fontId="7" fillId="0" borderId="0" xfId="1" applyNumberFormat="1" applyFont="1" applyBorder="1"/>
    <xf numFmtId="1" fontId="8" fillId="0" borderId="0" xfId="1" applyNumberFormat="1" applyFont="1" applyBorder="1" applyAlignment="1">
      <alignment horizontal="center"/>
    </xf>
    <xf numFmtId="14" fontId="7" fillId="0" borderId="0" xfId="0" applyNumberFormat="1" applyFont="1" applyAlignment="1">
      <alignment horizontal="right"/>
    </xf>
    <xf numFmtId="0" fontId="7" fillId="0" borderId="0" xfId="0" applyFont="1" applyBorder="1" applyAlignment="1">
      <alignment horizontal="left"/>
    </xf>
    <xf numFmtId="172" fontId="7" fillId="0" borderId="0" xfId="1" applyNumberFormat="1" applyFont="1" applyAlignment="1">
      <alignment horizontal="center"/>
    </xf>
    <xf numFmtId="172" fontId="8" fillId="0" borderId="0" xfId="0" applyNumberFormat="1" applyFont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10" fillId="0" borderId="0" xfId="0" applyFont="1"/>
    <xf numFmtId="0" fontId="10" fillId="0" borderId="0" xfId="0" applyFont="1" applyFill="1" applyBorder="1"/>
    <xf numFmtId="166" fontId="10" fillId="0" borderId="0" xfId="1" applyNumberFormat="1" applyFont="1"/>
    <xf numFmtId="172" fontId="7" fillId="0" borderId="0" xfId="0" applyNumberFormat="1" applyFont="1" applyAlignment="1">
      <alignment horizontal="center"/>
    </xf>
    <xf numFmtId="20" fontId="7" fillId="0" borderId="0" xfId="0" applyNumberFormat="1" applyFont="1" applyBorder="1"/>
    <xf numFmtId="20" fontId="7" fillId="0" borderId="0" xfId="0" applyNumberFormat="1" applyFont="1"/>
    <xf numFmtId="5" fontId="8" fillId="0" borderId="11" xfId="0" applyNumberFormat="1" applyFont="1" applyBorder="1" applyAlignment="1">
      <alignment horizontal="center"/>
    </xf>
    <xf numFmtId="164" fontId="7" fillId="0" borderId="12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4" fontId="8" fillId="0" borderId="11" xfId="0" applyNumberFormat="1" applyFont="1" applyBorder="1" applyAlignment="1">
      <alignment horizontal="center"/>
    </xf>
    <xf numFmtId="14" fontId="8" fillId="0" borderId="11" xfId="0" applyNumberFormat="1" applyFont="1" applyBorder="1" applyAlignment="1">
      <alignment horizontal="center"/>
    </xf>
    <xf numFmtId="166" fontId="8" fillId="0" borderId="1" xfId="1" applyNumberFormat="1" applyFont="1" applyBorder="1" applyAlignment="1">
      <alignment horizontal="center"/>
    </xf>
    <xf numFmtId="14" fontId="7" fillId="0" borderId="0" xfId="0" applyNumberFormat="1" applyFont="1" applyAlignment="1">
      <alignment horizontal="left"/>
    </xf>
    <xf numFmtId="14" fontId="7" fillId="0" borderId="0" xfId="1" applyNumberFormat="1" applyFont="1" applyAlignment="1">
      <alignment horizontal="left"/>
    </xf>
    <xf numFmtId="42" fontId="8" fillId="0" borderId="2" xfId="1" applyNumberFormat="1" applyFont="1" applyBorder="1" applyAlignment="1">
      <alignment horizontal="center"/>
    </xf>
    <xf numFmtId="164" fontId="7" fillId="0" borderId="0" xfId="0" quotePrefix="1" applyNumberFormat="1" applyFont="1" applyAlignment="1">
      <alignment horizontal="right"/>
    </xf>
    <xf numFmtId="0" fontId="8" fillId="0" borderId="1" xfId="0" applyFont="1" applyBorder="1" applyAlignment="1"/>
    <xf numFmtId="166" fontId="7" fillId="0" borderId="9" xfId="1" applyNumberFormat="1" applyFont="1" applyBorder="1" applyAlignment="1">
      <alignment horizontal="center"/>
    </xf>
    <xf numFmtId="44" fontId="4" fillId="0" borderId="9" xfId="0" applyNumberFormat="1" applyFont="1" applyBorder="1" applyAlignment="1">
      <alignment horizontal="center"/>
    </xf>
    <xf numFmtId="44" fontId="4" fillId="0" borderId="9" xfId="1" applyNumberFormat="1" applyFont="1" applyBorder="1" applyAlignment="1">
      <alignment horizontal="center"/>
    </xf>
    <xf numFmtId="164" fontId="7" fillId="0" borderId="13" xfId="1" applyNumberFormat="1" applyFont="1" applyBorder="1" applyAlignment="1">
      <alignment horizontal="center"/>
    </xf>
    <xf numFmtId="44" fontId="7" fillId="0" borderId="13" xfId="1" applyNumberFormat="1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4" xfId="0" applyFont="1" applyBorder="1" applyAlignment="1"/>
    <xf numFmtId="0" fontId="7" fillId="0" borderId="14" xfId="0" applyFont="1" applyBorder="1" applyAlignment="1">
      <alignment horizontal="center"/>
    </xf>
    <xf numFmtId="165" fontId="7" fillId="0" borderId="0" xfId="0" applyNumberFormat="1" applyFont="1" applyAlignment="1">
      <alignment horizontal="center"/>
    </xf>
    <xf numFmtId="0" fontId="8" fillId="0" borderId="0" xfId="0" applyFont="1" applyFill="1" applyBorder="1"/>
    <xf numFmtId="10" fontId="8" fillId="0" borderId="0" xfId="0" applyNumberFormat="1" applyFont="1"/>
    <xf numFmtId="42" fontId="8" fillId="0" borderId="0" xfId="0" applyNumberFormat="1" applyFont="1" applyBorder="1" applyAlignment="1">
      <alignment horizontal="right"/>
    </xf>
    <xf numFmtId="170" fontId="8" fillId="0" borderId="0" xfId="0" applyNumberFormat="1" applyFont="1" applyBorder="1" applyAlignment="1">
      <alignment horizontal="center"/>
    </xf>
    <xf numFmtId="0" fontId="1" fillId="0" borderId="0" xfId="0" applyFont="1"/>
    <xf numFmtId="42" fontId="8" fillId="0" borderId="0" xfId="1" applyNumberFormat="1" applyFont="1" applyFill="1" applyBorder="1" applyAlignment="1">
      <alignment horizontal="right"/>
    </xf>
    <xf numFmtId="164" fontId="0" fillId="0" borderId="9" xfId="0" applyNumberFormat="1" applyBorder="1"/>
    <xf numFmtId="164" fontId="0" fillId="0" borderId="0" xfId="0" applyNumberFormat="1"/>
    <xf numFmtId="9" fontId="7" fillId="0" borderId="0" xfId="3" applyNumberFormat="1" applyFont="1" applyAlignment="1">
      <alignment horizontal="center"/>
    </xf>
    <xf numFmtId="0" fontId="11" fillId="0" borderId="0" xfId="0" applyFont="1" applyAlignment="1">
      <alignment horizontal="center"/>
    </xf>
    <xf numFmtId="164" fontId="12" fillId="0" borderId="0" xfId="1" applyNumberFormat="1" applyFont="1" applyAlignment="1">
      <alignment horizontal="center"/>
    </xf>
    <xf numFmtId="170" fontId="8" fillId="0" borderId="0" xfId="0" applyNumberFormat="1" applyFont="1" applyBorder="1"/>
    <xf numFmtId="42" fontId="4" fillId="0" borderId="0" xfId="1" applyNumberFormat="1" applyFont="1" applyAlignment="1">
      <alignment horizontal="center"/>
    </xf>
    <xf numFmtId="42" fontId="3" fillId="0" borderId="0" xfId="0" applyNumberFormat="1" applyFont="1"/>
    <xf numFmtId="42" fontId="4" fillId="0" borderId="0" xfId="1" applyNumberFormat="1" applyFont="1" applyBorder="1" applyAlignment="1">
      <alignment horizontal="center"/>
    </xf>
    <xf numFmtId="42" fontId="7" fillId="0" borderId="12" xfId="0" applyNumberFormat="1" applyFont="1" applyBorder="1" applyAlignment="1">
      <alignment horizontal="center"/>
    </xf>
    <xf numFmtId="164" fontId="7" fillId="0" borderId="15" xfId="1" applyNumberFormat="1" applyFont="1" applyBorder="1" applyAlignment="1">
      <alignment horizontal="center"/>
    </xf>
    <xf numFmtId="170" fontId="7" fillId="0" borderId="0" xfId="0" applyNumberFormat="1" applyFont="1" applyBorder="1" applyAlignment="1">
      <alignment horizontal="center"/>
    </xf>
    <xf numFmtId="42" fontId="7" fillId="0" borderId="0" xfId="1" applyNumberFormat="1" applyFont="1" applyFill="1" applyBorder="1" applyAlignment="1">
      <alignment horizontal="right"/>
    </xf>
    <xf numFmtId="0" fontId="8" fillId="0" borderId="9" xfId="0" applyFont="1" applyBorder="1" applyAlignment="1">
      <alignment horizontal="center"/>
    </xf>
    <xf numFmtId="167" fontId="7" fillId="0" borderId="9" xfId="0" applyNumberFormat="1" applyFont="1" applyBorder="1" applyAlignment="1">
      <alignment horizontal="center"/>
    </xf>
    <xf numFmtId="14" fontId="7" fillId="0" borderId="9" xfId="0" applyNumberFormat="1" applyFont="1" applyBorder="1" applyAlignment="1">
      <alignment horizontal="center"/>
    </xf>
    <xf numFmtId="44" fontId="7" fillId="0" borderId="0" xfId="1" applyNumberFormat="1" applyFont="1" applyBorder="1" applyAlignment="1">
      <alignment horizontal="left"/>
    </xf>
    <xf numFmtId="166" fontId="8" fillId="0" borderId="1" xfId="1" applyNumberFormat="1" applyFont="1" applyBorder="1" applyAlignment="1">
      <alignment horizontal="left"/>
    </xf>
    <xf numFmtId="42" fontId="0" fillId="0" borderId="0" xfId="0" applyNumberFormat="1"/>
    <xf numFmtId="166" fontId="8" fillId="0" borderId="0" xfId="1" applyNumberFormat="1" applyFont="1" applyBorder="1" applyAlignment="1">
      <alignment horizontal="left"/>
    </xf>
    <xf numFmtId="42" fontId="7" fillId="0" borderId="0" xfId="0" applyNumberFormat="1" applyFont="1" applyAlignment="1">
      <alignment horizontal="left"/>
    </xf>
    <xf numFmtId="12" fontId="8" fillId="0" borderId="0" xfId="0" applyNumberFormat="1" applyFont="1" applyAlignment="1">
      <alignment horizontal="center"/>
    </xf>
    <xf numFmtId="14" fontId="8" fillId="0" borderId="0" xfId="0" applyNumberFormat="1" applyFont="1" applyAlignment="1">
      <alignment horizontal="right"/>
    </xf>
    <xf numFmtId="173" fontId="7" fillId="0" borderId="0" xfId="0" applyNumberFormat="1" applyFont="1"/>
    <xf numFmtId="164" fontId="7" fillId="0" borderId="0" xfId="1" applyNumberFormat="1" applyFont="1" applyBorder="1"/>
    <xf numFmtId="173" fontId="7" fillId="0" borderId="0" xfId="3" applyNumberFormat="1" applyFont="1"/>
    <xf numFmtId="5" fontId="8" fillId="0" borderId="0" xfId="0" applyNumberFormat="1" applyFont="1" applyBorder="1" applyAlignment="1">
      <alignment horizontal="left"/>
    </xf>
    <xf numFmtId="5" fontId="8" fillId="0" borderId="2" xfId="0" applyNumberFormat="1" applyFont="1" applyBorder="1" applyAlignment="1">
      <alignment horizontal="left"/>
    </xf>
    <xf numFmtId="42" fontId="8" fillId="0" borderId="0" xfId="0" applyNumberFormat="1" applyFont="1" applyAlignment="1">
      <alignment horizontal="left"/>
    </xf>
    <xf numFmtId="6" fontId="13" fillId="0" borderId="0" xfId="0" applyNumberFormat="1" applyFont="1"/>
    <xf numFmtId="164" fontId="8" fillId="0" borderId="13" xfId="1" applyNumberFormat="1" applyFont="1" applyBorder="1" applyAlignment="1">
      <alignment horizontal="center"/>
    </xf>
    <xf numFmtId="5" fontId="8" fillId="0" borderId="0" xfId="0" applyNumberFormat="1" applyFont="1" applyAlignment="1">
      <alignment horizontal="right"/>
    </xf>
    <xf numFmtId="170" fontId="7" fillId="0" borderId="0" xfId="0" applyNumberFormat="1" applyFont="1" applyBorder="1" applyAlignment="1">
      <alignment horizontal="right"/>
    </xf>
    <xf numFmtId="189" fontId="7" fillId="0" borderId="0" xfId="1" applyNumberFormat="1" applyFont="1" applyBorder="1"/>
    <xf numFmtId="42" fontId="7" fillId="0" borderId="0" xfId="0" applyNumberFormat="1" applyFont="1" applyFill="1" applyBorder="1"/>
    <xf numFmtId="42" fontId="4" fillId="0" borderId="9" xfId="1" applyNumberFormat="1" applyFont="1" applyBorder="1" applyAlignment="1">
      <alignment horizontal="center"/>
    </xf>
    <xf numFmtId="42" fontId="5" fillId="0" borderId="9" xfId="1" applyNumberFormat="1" applyFont="1" applyBorder="1" applyAlignment="1">
      <alignment horizontal="right"/>
    </xf>
    <xf numFmtId="42" fontId="4" fillId="0" borderId="0" xfId="1" applyNumberFormat="1" applyFont="1" applyAlignment="1">
      <alignment horizontal="right"/>
    </xf>
    <xf numFmtId="42" fontId="5" fillId="0" borderId="0" xfId="1" applyNumberFormat="1" applyFont="1" applyAlignment="1">
      <alignment horizontal="right"/>
    </xf>
    <xf numFmtId="0" fontId="7" fillId="0" borderId="2" xfId="0" applyFont="1" applyBorder="1"/>
    <xf numFmtId="181" fontId="7" fillId="0" borderId="0" xfId="0" applyNumberFormat="1" applyFont="1" applyAlignment="1">
      <alignment horizontal="right"/>
    </xf>
    <xf numFmtId="165" fontId="7" fillId="0" borderId="0" xfId="1" applyNumberFormat="1" applyFont="1" applyAlignment="1">
      <alignment horizontal="right"/>
    </xf>
    <xf numFmtId="0" fontId="14" fillId="0" borderId="0" xfId="0" applyFont="1"/>
    <xf numFmtId="166" fontId="7" fillId="0" borderId="9" xfId="1" applyNumberFormat="1" applyFont="1" applyBorder="1" applyAlignment="1">
      <alignment horizontal="right"/>
    </xf>
    <xf numFmtId="0" fontId="14" fillId="0" borderId="0" xfId="0" applyFont="1" applyAlignment="1">
      <alignment horizontal="left"/>
    </xf>
    <xf numFmtId="6" fontId="8" fillId="0" borderId="0" xfId="0" applyNumberFormat="1" applyFont="1"/>
    <xf numFmtId="8" fontId="0" fillId="0" borderId="0" xfId="0" applyNumberFormat="1"/>
    <xf numFmtId="43" fontId="7" fillId="0" borderId="0" xfId="0" applyNumberFormat="1" applyFont="1" applyBorder="1"/>
    <xf numFmtId="0" fontId="7" fillId="0" borderId="14" xfId="0" applyFont="1" applyBorder="1" applyAlignment="1">
      <alignment horizontal="right"/>
    </xf>
    <xf numFmtId="166" fontId="8" fillId="0" borderId="0" xfId="1" applyNumberFormat="1" applyFont="1"/>
    <xf numFmtId="0" fontId="7" fillId="0" borderId="0" xfId="0" applyFont="1" applyFill="1" applyBorder="1" applyAlignment="1">
      <alignment horizontal="left"/>
    </xf>
    <xf numFmtId="10" fontId="7" fillId="0" borderId="13" xfId="3" applyNumberFormat="1" applyFont="1" applyBorder="1" applyAlignment="1">
      <alignment horizontal="center"/>
    </xf>
    <xf numFmtId="10" fontId="7" fillId="0" borderId="16" xfId="0" applyNumberFormat="1" applyFont="1" applyBorder="1"/>
    <xf numFmtId="0" fontId="7" fillId="0" borderId="5" xfId="0" applyFont="1" applyBorder="1" applyAlignment="1">
      <alignment horizontal="left"/>
    </xf>
    <xf numFmtId="5" fontId="7" fillId="0" borderId="0" xfId="0" applyNumberFormat="1" applyFont="1" applyBorder="1" applyAlignment="1">
      <alignment horizontal="left"/>
    </xf>
    <xf numFmtId="44" fontId="8" fillId="0" borderId="1" xfId="2" applyNumberFormat="1" applyFont="1" applyBorder="1" applyAlignment="1">
      <alignment horizontal="center"/>
    </xf>
    <xf numFmtId="10" fontId="8" fillId="0" borderId="0" xfId="3" applyNumberFormat="1" applyFont="1"/>
    <xf numFmtId="0" fontId="15" fillId="0" borderId="2" xfId="0" applyFont="1" applyBorder="1"/>
    <xf numFmtId="0" fontId="15" fillId="0" borderId="0" xfId="0" applyFont="1"/>
    <xf numFmtId="5" fontId="7" fillId="0" borderId="0" xfId="0" applyNumberFormat="1" applyFont="1" applyFill="1" applyBorder="1" applyAlignment="1">
      <alignment horizontal="center"/>
    </xf>
    <xf numFmtId="42" fontId="8" fillId="0" borderId="1" xfId="0" applyNumberFormat="1" applyFont="1" applyBorder="1" applyAlignment="1">
      <alignment horizontal="center"/>
    </xf>
    <xf numFmtId="0" fontId="8" fillId="0" borderId="0" xfId="0" applyFont="1" applyAlignment="1"/>
    <xf numFmtId="44" fontId="8" fillId="0" borderId="0" xfId="1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8" fillId="0" borderId="0" xfId="0" applyFont="1" applyBorder="1" applyAlignment="1">
      <alignment horizontal="right"/>
    </xf>
    <xf numFmtId="42" fontId="7" fillId="0" borderId="1" xfId="1" applyNumberFormat="1" applyFont="1" applyBorder="1" applyAlignment="1">
      <alignment horizontal="center"/>
    </xf>
    <xf numFmtId="0" fontId="7" fillId="0" borderId="5" xfId="0" applyFont="1" applyFill="1" applyBorder="1" applyAlignment="1">
      <alignment horizontal="left"/>
    </xf>
    <xf numFmtId="181" fontId="7" fillId="0" borderId="0" xfId="0" applyNumberFormat="1" applyFont="1"/>
    <xf numFmtId="0" fontId="7" fillId="0" borderId="0" xfId="0" applyFont="1" applyFill="1" applyBorder="1" applyAlignment="1">
      <alignment horizontal="center"/>
    </xf>
    <xf numFmtId="6" fontId="10" fillId="0" borderId="0" xfId="0" applyNumberFormat="1" applyFont="1"/>
    <xf numFmtId="164" fontId="5" fillId="0" borderId="9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0" fontId="3" fillId="0" borderId="0" xfId="0" applyFont="1"/>
    <xf numFmtId="6" fontId="3" fillId="0" borderId="0" xfId="0" applyNumberFormat="1" applyFont="1"/>
    <xf numFmtId="14" fontId="16" fillId="0" borderId="0" xfId="0" applyNumberFormat="1" applyFont="1" applyAlignment="1">
      <alignment horizontal="center"/>
    </xf>
    <xf numFmtId="14" fontId="16" fillId="0" borderId="0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right"/>
    </xf>
    <xf numFmtId="14" fontId="8" fillId="0" borderId="0" xfId="0" applyNumberFormat="1" applyFont="1" applyBorder="1" applyAlignment="1">
      <alignment horizontal="right"/>
    </xf>
    <xf numFmtId="14" fontId="8" fillId="0" borderId="2" xfId="0" applyNumberFormat="1" applyFont="1" applyBorder="1" applyAlignment="1">
      <alignment horizontal="right"/>
    </xf>
    <xf numFmtId="42" fontId="7" fillId="0" borderId="0" xfId="0" applyNumberFormat="1" applyFont="1" applyAlignment="1">
      <alignment horizontal="right"/>
    </xf>
    <xf numFmtId="0" fontId="17" fillId="0" borderId="0" xfId="0" applyFont="1"/>
    <xf numFmtId="1" fontId="7" fillId="0" borderId="0" xfId="1" applyNumberFormat="1" applyFont="1" applyAlignment="1">
      <alignment horizontal="center"/>
    </xf>
    <xf numFmtId="1" fontId="7" fillId="0" borderId="0" xfId="0" applyNumberFormat="1" applyFont="1" applyBorder="1" applyAlignment="1">
      <alignment horizontal="center"/>
    </xf>
    <xf numFmtId="172" fontId="8" fillId="0" borderId="0" xfId="0" applyNumberFormat="1" applyFont="1"/>
    <xf numFmtId="172" fontId="7" fillId="0" borderId="0" xfId="1" applyNumberFormat="1" applyFont="1"/>
    <xf numFmtId="165" fontId="7" fillId="0" borderId="0" xfId="1" applyNumberFormat="1" applyFont="1"/>
    <xf numFmtId="175" fontId="8" fillId="0" borderId="9" xfId="0" applyNumberFormat="1" applyFont="1" applyBorder="1"/>
    <xf numFmtId="170" fontId="8" fillId="0" borderId="0" xfId="0" applyNumberFormat="1" applyFont="1" applyBorder="1" applyAlignment="1">
      <alignment horizontal="right"/>
    </xf>
    <xf numFmtId="10" fontId="7" fillId="0" borderId="0" xfId="3" applyNumberFormat="1" applyFont="1" applyBorder="1" applyAlignment="1">
      <alignment horizontal="center"/>
    </xf>
    <xf numFmtId="164" fontId="7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166" fontId="1" fillId="0" borderId="0" xfId="1" applyNumberFormat="1" applyFont="1" applyAlignment="1">
      <alignment horizontal="center"/>
    </xf>
    <xf numFmtId="0" fontId="1" fillId="0" borderId="0" xfId="1" applyNumberFormat="1" applyFont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6" fontId="3" fillId="0" borderId="0" xfId="1" applyNumberFormat="1" applyBorder="1"/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1" fillId="0" borderId="2" xfId="0" applyFont="1" applyBorder="1"/>
    <xf numFmtId="42" fontId="3" fillId="0" borderId="1" xfId="1" applyNumberFormat="1" applyBorder="1"/>
    <xf numFmtId="42" fontId="3" fillId="0" borderId="0" xfId="1" applyNumberFormat="1" applyBorder="1"/>
    <xf numFmtId="42" fontId="3" fillId="0" borderId="0" xfId="1" applyNumberFormat="1" applyFont="1" applyBorder="1"/>
    <xf numFmtId="42" fontId="3" fillId="0" borderId="12" xfId="1" applyNumberFormat="1" applyBorder="1"/>
    <xf numFmtId="9" fontId="3" fillId="0" borderId="0" xfId="3" applyBorder="1"/>
    <xf numFmtId="9" fontId="7" fillId="0" borderId="0" xfId="3" applyFont="1" applyAlignment="1">
      <alignment horizontal="center"/>
    </xf>
    <xf numFmtId="42" fontId="0" fillId="0" borderId="0" xfId="0" applyNumberFormat="1" applyBorder="1"/>
    <xf numFmtId="42" fontId="3" fillId="0" borderId="17" xfId="1" applyNumberFormat="1" applyBorder="1"/>
    <xf numFmtId="42" fontId="4" fillId="0" borderId="17" xfId="1" applyNumberFormat="1" applyFont="1" applyBorder="1" applyAlignment="1">
      <alignment horizontal="center"/>
    </xf>
    <xf numFmtId="42" fontId="3" fillId="0" borderId="18" xfId="1" applyNumberFormat="1" applyBorder="1"/>
    <xf numFmtId="42" fontId="0" fillId="0" borderId="19" xfId="0" applyNumberFormat="1" applyBorder="1"/>
    <xf numFmtId="42" fontId="0" fillId="0" borderId="20" xfId="0" applyNumberFormat="1" applyBorder="1"/>
    <xf numFmtId="42" fontId="2" fillId="0" borderId="0" xfId="0" applyNumberFormat="1" applyFont="1" applyBorder="1"/>
    <xf numFmtId="42" fontId="2" fillId="0" borderId="19" xfId="0" applyNumberFormat="1" applyFont="1" applyBorder="1"/>
    <xf numFmtId="14" fontId="8" fillId="0" borderId="0" xfId="1" applyNumberFormat="1" applyFont="1" applyBorder="1" applyAlignment="1">
      <alignment horizontal="center"/>
    </xf>
    <xf numFmtId="180" fontId="8" fillId="0" borderId="0" xfId="0" applyNumberFormat="1" applyFont="1"/>
    <xf numFmtId="202" fontId="8" fillId="0" borderId="0" xfId="0" applyNumberFormat="1" applyFont="1"/>
    <xf numFmtId="204" fontId="8" fillId="0" borderId="0" xfId="0" applyNumberFormat="1" applyFont="1"/>
    <xf numFmtId="42" fontId="16" fillId="0" borderId="0" xfId="0" applyNumberFormat="1" applyFont="1" applyBorder="1" applyAlignment="1">
      <alignment horizontal="center"/>
    </xf>
    <xf numFmtId="9" fontId="7" fillId="0" borderId="0" xfId="3" applyNumberFormat="1" applyFont="1"/>
    <xf numFmtId="14" fontId="7" fillId="0" borderId="0" xfId="1" applyNumberFormat="1" applyFont="1" applyBorder="1" applyAlignment="1">
      <alignment horizontal="center"/>
    </xf>
    <xf numFmtId="164" fontId="19" fillId="0" borderId="0" xfId="1" applyNumberFormat="1" applyFont="1" applyBorder="1" applyAlignment="1">
      <alignment horizontal="center"/>
    </xf>
    <xf numFmtId="166" fontId="18" fillId="0" borderId="9" xfId="1" applyNumberFormat="1" applyFont="1" applyBorder="1"/>
    <xf numFmtId="164" fontId="20" fillId="0" borderId="12" xfId="0" applyNumberFormat="1" applyFont="1" applyBorder="1"/>
    <xf numFmtId="180" fontId="7" fillId="0" borderId="0" xfId="0" applyNumberFormat="1" applyFont="1"/>
    <xf numFmtId="42" fontId="7" fillId="0" borderId="12" xfId="0" applyNumberFormat="1" applyFont="1" applyBorder="1"/>
    <xf numFmtId="42" fontId="8" fillId="0" borderId="9" xfId="1" applyNumberFormat="1" applyFont="1" applyBorder="1" applyAlignment="1">
      <alignment horizontal="center"/>
    </xf>
    <xf numFmtId="14" fontId="8" fillId="0" borderId="0" xfId="1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42" fontId="3" fillId="0" borderId="0" xfId="0" applyNumberFormat="1" applyFont="1" applyBorder="1" applyAlignment="1">
      <alignment horizontal="right"/>
    </xf>
    <xf numFmtId="0" fontId="19" fillId="0" borderId="0" xfId="0" applyFont="1"/>
    <xf numFmtId="172" fontId="0" fillId="0" borderId="0" xfId="0" applyNumberFormat="1"/>
    <xf numFmtId="172" fontId="3" fillId="0" borderId="12" xfId="1" applyNumberFormat="1" applyBorder="1"/>
    <xf numFmtId="164" fontId="7" fillId="0" borderId="0" xfId="1" applyNumberFormat="1" applyFont="1"/>
    <xf numFmtId="17" fontId="7" fillId="0" borderId="0" xfId="0" applyNumberFormat="1" applyFont="1"/>
    <xf numFmtId="171" fontId="0" fillId="0" borderId="0" xfId="3" applyNumberFormat="1" applyFont="1"/>
    <xf numFmtId="43" fontId="0" fillId="0" borderId="0" xfId="0" applyNumberFormat="1"/>
    <xf numFmtId="42" fontId="3" fillId="0" borderId="1" xfId="1" applyNumberFormat="1" applyFont="1" applyBorder="1"/>
    <xf numFmtId="42" fontId="3" fillId="0" borderId="12" xfId="1" applyNumberFormat="1" applyFont="1" applyBorder="1"/>
    <xf numFmtId="9" fontId="3" fillId="0" borderId="0" xfId="3" applyFont="1" applyBorder="1"/>
    <xf numFmtId="42" fontId="0" fillId="0" borderId="0" xfId="3" applyNumberFormat="1" applyFont="1"/>
    <xf numFmtId="164" fontId="7" fillId="0" borderId="0" xfId="1" applyNumberFormat="1" applyFont="1" applyAlignment="1">
      <alignment horizontal="left"/>
    </xf>
    <xf numFmtId="165" fontId="7" fillId="0" borderId="0" xfId="1" applyFont="1" applyAlignment="1">
      <alignment horizontal="left"/>
    </xf>
  </cellXfs>
  <cellStyles count="4">
    <cellStyle name="Currency" xfId="1" builtinId="4"/>
    <cellStyle name="Currency_SF" xfId="2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495300</xdr:colOff>
      <xdr:row>17</xdr:row>
      <xdr:rowOff>114300</xdr:rowOff>
    </xdr:from>
    <xdr:ext cx="76200" cy="190500"/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879CFAF5-2CBA-A082-4F90-A3B490BF2411}"/>
            </a:ext>
          </a:extLst>
        </xdr:cNvPr>
        <xdr:cNvSpPr txBox="1">
          <a:spLocks noChangeArrowheads="1"/>
        </xdr:cNvSpPr>
      </xdr:nvSpPr>
      <xdr:spPr bwMode="auto">
        <a:xfrm>
          <a:off x="1466850" y="27146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495300</xdr:colOff>
      <xdr:row>26</xdr:row>
      <xdr:rowOff>114300</xdr:rowOff>
    </xdr:from>
    <xdr:ext cx="76200" cy="190500"/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2F367819-80C3-6126-6EF9-6C85B90C1078}"/>
            </a:ext>
          </a:extLst>
        </xdr:cNvPr>
        <xdr:cNvSpPr txBox="1">
          <a:spLocks noChangeArrowheads="1"/>
        </xdr:cNvSpPr>
      </xdr:nvSpPr>
      <xdr:spPr bwMode="auto">
        <a:xfrm>
          <a:off x="1466850" y="40862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495300</xdr:colOff>
      <xdr:row>27</xdr:row>
      <xdr:rowOff>114300</xdr:rowOff>
    </xdr:from>
    <xdr:ext cx="76200" cy="190500"/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A5675EFE-A603-99CF-2D07-E17852870839}"/>
            </a:ext>
          </a:extLst>
        </xdr:cNvPr>
        <xdr:cNvSpPr txBox="1">
          <a:spLocks noChangeArrowheads="1"/>
        </xdr:cNvSpPr>
      </xdr:nvSpPr>
      <xdr:spPr bwMode="auto">
        <a:xfrm>
          <a:off x="1466850" y="423862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485775</xdr:colOff>
      <xdr:row>22</xdr:row>
      <xdr:rowOff>0</xdr:rowOff>
    </xdr:from>
    <xdr:ext cx="76200" cy="190500"/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8B51CA7-9B71-521E-571C-75ECF4E6AD64}"/>
            </a:ext>
          </a:extLst>
        </xdr:cNvPr>
        <xdr:cNvSpPr txBox="1">
          <a:spLocks noChangeArrowheads="1"/>
        </xdr:cNvSpPr>
      </xdr:nvSpPr>
      <xdr:spPr bwMode="auto">
        <a:xfrm>
          <a:off x="1619250" y="33813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485775</xdr:colOff>
      <xdr:row>25</xdr:row>
      <xdr:rowOff>0</xdr:rowOff>
    </xdr:from>
    <xdr:ext cx="76200" cy="190500"/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CA36DBCF-5918-7D90-33BE-DAEA223AE852}"/>
            </a:ext>
          </a:extLst>
        </xdr:cNvPr>
        <xdr:cNvSpPr txBox="1">
          <a:spLocks noChangeArrowheads="1"/>
        </xdr:cNvSpPr>
      </xdr:nvSpPr>
      <xdr:spPr bwMode="auto">
        <a:xfrm>
          <a:off x="1619250" y="3838575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485775</xdr:colOff>
      <xdr:row>25</xdr:row>
      <xdr:rowOff>104775</xdr:rowOff>
    </xdr:from>
    <xdr:ext cx="76200" cy="190500"/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B494E649-465D-4AB5-576D-75E44BDB306F}"/>
            </a:ext>
          </a:extLst>
        </xdr:cNvPr>
        <xdr:cNvSpPr txBox="1">
          <a:spLocks noChangeArrowheads="1"/>
        </xdr:cNvSpPr>
      </xdr:nvSpPr>
      <xdr:spPr bwMode="auto">
        <a:xfrm>
          <a:off x="1619250" y="3943350"/>
          <a:ext cx="762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99"/>
  <sheetViews>
    <sheetView tabSelected="1" zoomScaleNormal="100" workbookViewId="0">
      <selection activeCell="D2" sqref="D2"/>
    </sheetView>
  </sheetViews>
  <sheetFormatPr defaultColWidth="10.85546875" defaultRowHeight="12"/>
  <cols>
    <col min="1" max="1" width="24.85546875" style="62" customWidth="1"/>
    <col min="2" max="2" width="12.85546875" style="92" bestFit="1" customWidth="1"/>
    <col min="3" max="3" width="11.5703125" style="62" bestFit="1" customWidth="1"/>
    <col min="4" max="4" width="11.5703125" style="92" bestFit="1" customWidth="1"/>
    <col min="5" max="5" width="10.7109375" style="92" bestFit="1" customWidth="1"/>
    <col min="6" max="6" width="11" style="62" bestFit="1" customWidth="1"/>
    <col min="7" max="7" width="11.5703125" style="62" bestFit="1" customWidth="1"/>
    <col min="8" max="8" width="13.28515625" style="62" bestFit="1" customWidth="1"/>
    <col min="9" max="10" width="11.5703125" style="62" bestFit="1" customWidth="1"/>
    <col min="11" max="11" width="12.85546875" style="62" bestFit="1" customWidth="1"/>
    <col min="12" max="12" width="7.140625" style="62" bestFit="1" customWidth="1"/>
    <col min="13" max="16384" width="10.85546875" style="62"/>
  </cols>
  <sheetData>
    <row r="2" spans="1:12" s="43" customFormat="1">
      <c r="A2" s="173" t="s">
        <v>471</v>
      </c>
      <c r="B2" s="62"/>
      <c r="D2" s="217">
        <v>36893</v>
      </c>
      <c r="E2" s="106"/>
      <c r="F2" s="49"/>
      <c r="G2" s="49"/>
      <c r="H2" s="132"/>
    </row>
    <row r="3" spans="1:12" s="43" customFormat="1">
      <c r="A3" s="108"/>
      <c r="B3" s="62"/>
      <c r="C3" s="65">
        <f t="shared" ref="C3:J3" si="0">SUM(C6/$B6)</f>
        <v>0.28000000011116039</v>
      </c>
      <c r="D3" s="65">
        <f t="shared" si="0"/>
        <v>8.0000000111160402E-2</v>
      </c>
      <c r="E3" s="65">
        <f t="shared" si="0"/>
        <v>1.9999999888839593E-2</v>
      </c>
      <c r="F3" s="65">
        <f t="shared" si="0"/>
        <v>2.2000000155624571E-2</v>
      </c>
      <c r="G3" s="65">
        <f t="shared" si="0"/>
        <v>4.4000000311249142E-2</v>
      </c>
      <c r="H3" s="65">
        <f t="shared" si="0"/>
        <v>0.15399999997776792</v>
      </c>
      <c r="I3" s="65">
        <f t="shared" si="0"/>
        <v>0.10500000011116041</v>
      </c>
      <c r="J3" s="312">
        <f t="shared" si="0"/>
        <v>0.29499999933303755</v>
      </c>
      <c r="K3" s="350"/>
      <c r="L3" s="313">
        <f>SUM(C3:J3)</f>
        <v>1</v>
      </c>
    </row>
    <row r="4" spans="1:12" s="43" customFormat="1">
      <c r="A4" s="108"/>
      <c r="B4" s="62"/>
      <c r="C4" s="193" t="s">
        <v>141</v>
      </c>
      <c r="D4" s="193" t="s">
        <v>142</v>
      </c>
      <c r="E4" s="193" t="s">
        <v>143</v>
      </c>
      <c r="F4" s="193" t="s">
        <v>144</v>
      </c>
      <c r="G4" s="193" t="s">
        <v>144</v>
      </c>
      <c r="H4" s="193" t="s">
        <v>144</v>
      </c>
      <c r="I4" s="193" t="s">
        <v>145</v>
      </c>
      <c r="J4" s="193" t="s">
        <v>146</v>
      </c>
      <c r="K4" s="193" t="s">
        <v>535</v>
      </c>
    </row>
    <row r="5" spans="1:12" s="43" customFormat="1">
      <c r="A5" s="108"/>
      <c r="B5" s="235" t="s">
        <v>30</v>
      </c>
      <c r="C5" s="236" t="s">
        <v>55</v>
      </c>
      <c r="D5" s="233" t="s">
        <v>45</v>
      </c>
      <c r="E5" s="233" t="s">
        <v>5</v>
      </c>
      <c r="F5" s="237" t="s">
        <v>97</v>
      </c>
      <c r="G5" s="237" t="s">
        <v>25</v>
      </c>
      <c r="H5" s="237" t="s">
        <v>37</v>
      </c>
      <c r="I5" s="235" t="s">
        <v>69</v>
      </c>
      <c r="J5" s="235" t="s">
        <v>31</v>
      </c>
      <c r="K5" s="237" t="s">
        <v>536</v>
      </c>
    </row>
    <row r="6" spans="1:12" s="43" customFormat="1">
      <c r="A6" s="250" t="s">
        <v>150</v>
      </c>
      <c r="B6" s="291">
        <f>SUM(C6:J6)</f>
        <v>1799201760</v>
      </c>
      <c r="C6" s="154">
        <f>'SC1 MRB'!$C$1</f>
        <v>503776493</v>
      </c>
      <c r="D6" s="154">
        <f>+'SC2 State Voted'!C1</f>
        <v>143936141</v>
      </c>
      <c r="E6" s="154">
        <f>+'SC3 Small Issue IDBs'!C1</f>
        <v>35984035</v>
      </c>
      <c r="F6" s="154">
        <f>'SC4 TSAHC'!C1</f>
        <v>39582439</v>
      </c>
      <c r="G6" s="154">
        <f>+'SC4 MF- TDHCA'!C1</f>
        <v>79164878</v>
      </c>
      <c r="H6" s="292">
        <f>'REGION 1'!C1+'REGION 3'!C1+'REGION 6'!C1+'REGION 7'!C1+'REGION 9'!C1+'REGION 10'!C1+'REGION 11'!C1+'REGION 13'!C1</f>
        <v>277077071</v>
      </c>
      <c r="I6" s="154">
        <f>'SC5 Student Loans'!C1</f>
        <v>188916185</v>
      </c>
      <c r="J6" s="154">
        <f xml:space="preserve"> 'SC6 OTHER'!$C$1</f>
        <v>530764518</v>
      </c>
      <c r="K6" s="154">
        <v>0</v>
      </c>
      <c r="L6" s="286">
        <f>SUM(B6/B$6)</f>
        <v>1</v>
      </c>
    </row>
    <row r="7" spans="1:12" s="43" customFormat="1">
      <c r="A7" s="251"/>
      <c r="B7" s="247"/>
      <c r="C7" s="153"/>
      <c r="D7" s="153"/>
      <c r="E7" s="153"/>
      <c r="F7" s="153"/>
      <c r="G7" s="153"/>
      <c r="H7" s="200"/>
      <c r="I7" s="153"/>
      <c r="J7" s="153"/>
      <c r="K7" s="153"/>
    </row>
    <row r="8" spans="1:12" s="43" customFormat="1">
      <c r="A8" s="251" t="s">
        <v>86</v>
      </c>
      <c r="B8" s="247">
        <f>SUM(C8:K8)</f>
        <v>4206055997</v>
      </c>
      <c r="C8" s="153">
        <f>'SC1 MRB'!$F$24</f>
        <v>416813179</v>
      </c>
      <c r="D8" s="153">
        <f>+'SC2 State Voted'!F10</f>
        <v>0</v>
      </c>
      <c r="E8" s="153">
        <f>+'SC3 Small Issue IDBs'!F11</f>
        <v>4225000</v>
      </c>
      <c r="F8" s="153">
        <f>+'SC4 MF- TDHCA'!D46</f>
        <v>0</v>
      </c>
      <c r="G8" s="153">
        <f>+'SC4 MF- TDHCA'!F46</f>
        <v>422050000</v>
      </c>
      <c r="H8" s="242">
        <f>'REGION 1'!F12+'REGION 3'!F39+'REGION 6'!F43+'REGION 7'!F12+'REGION 9'!F15+'REGION 10'!F10+'REGION 11'!F8+'REGION 13'!F10+'LHFC June 1st'!F51</f>
        <v>1578372633</v>
      </c>
      <c r="I8" s="153">
        <f>+'SC5 Student Loans'!F12</f>
        <v>188916185</v>
      </c>
      <c r="J8" s="153">
        <f>'SC6 OTHER'!$F$28</f>
        <v>315950000</v>
      </c>
      <c r="K8" s="153">
        <f>Collapse!F70</f>
        <v>1279729000</v>
      </c>
      <c r="L8" s="286">
        <f>SUM(B8/B$6)</f>
        <v>2.3377344834300295</v>
      </c>
    </row>
    <row r="9" spans="1:12" s="43" customFormat="1">
      <c r="A9" s="252"/>
      <c r="B9" s="247"/>
      <c r="C9" s="153"/>
      <c r="D9" s="153"/>
      <c r="E9" s="153"/>
      <c r="F9" s="153"/>
      <c r="G9" s="153"/>
      <c r="H9" s="153"/>
      <c r="I9" s="153"/>
      <c r="J9" s="153"/>
      <c r="K9" s="153"/>
    </row>
    <row r="10" spans="1:12" s="43" customFormat="1">
      <c r="A10" s="252" t="s">
        <v>435</v>
      </c>
      <c r="B10" s="247">
        <f>SUM(C10:K10)</f>
        <v>2853964168</v>
      </c>
      <c r="C10" s="153">
        <f>'SC1 MRB'!$I$24</f>
        <v>377362854</v>
      </c>
      <c r="D10" s="153">
        <f>+'SC2 State Voted'!G10</f>
        <v>0</v>
      </c>
      <c r="E10" s="153">
        <f>+'SC3 Small Issue IDBs'!G11</f>
        <v>4225000</v>
      </c>
      <c r="F10" s="153">
        <f>+'SC4 MF- TDHCA'!E46</f>
        <v>0</v>
      </c>
      <c r="G10" s="153">
        <f>+'SC4 MF- TDHCA'!G46</f>
        <v>217700000</v>
      </c>
      <c r="H10" s="153">
        <f>'REGION 1'!G12+'REGION 3'!G39+'REGION 6'!G43+'REGION 7'!G12+'REGION 9'!G15+'REGION 10'!G10+'REGION 11'!G8+'REGION 13'!G10+'LHFC June 1st'!G51</f>
        <v>516440000</v>
      </c>
      <c r="I10" s="153">
        <f>+'SC5 Student Loans'!G12</f>
        <v>188916185</v>
      </c>
      <c r="J10" s="153">
        <f>'SC6 OTHER'!$G$28</f>
        <v>315950000</v>
      </c>
      <c r="K10" s="153">
        <f>Collapse!G70</f>
        <v>1233370129</v>
      </c>
      <c r="L10" s="286">
        <f>SUM(B10/B$6)</f>
        <v>1.5862390930520209</v>
      </c>
    </row>
    <row r="11" spans="1:12" s="43" customFormat="1">
      <c r="A11" s="252"/>
      <c r="B11" s="247"/>
      <c r="C11" s="153"/>
      <c r="D11" s="153"/>
      <c r="E11" s="153"/>
      <c r="F11" s="153"/>
      <c r="G11" s="153"/>
      <c r="H11" s="153"/>
      <c r="I11" s="153"/>
      <c r="J11" s="153"/>
      <c r="K11" s="153"/>
    </row>
    <row r="12" spans="1:12" s="43" customFormat="1">
      <c r="A12" s="252" t="s">
        <v>428</v>
      </c>
      <c r="B12" s="247">
        <f>SUM(C12:K12)</f>
        <v>2351901591</v>
      </c>
      <c r="C12" s="153">
        <f>'SC1 MRB'!L24</f>
        <v>301277591</v>
      </c>
      <c r="D12" s="153">
        <f>'SC2 State Voted'!J10</f>
        <v>0</v>
      </c>
      <c r="E12" s="153">
        <f>'SC3 Small Issue IDBs'!J11</f>
        <v>4225000</v>
      </c>
      <c r="F12" s="153">
        <f>'SC4 TSAHC'!J9</f>
        <v>0</v>
      </c>
      <c r="G12" s="153">
        <f>'SC4 MF- TDHCA'!J46</f>
        <v>190850000</v>
      </c>
      <c r="H12" s="153">
        <f>'REGION 1'!J12+'REGION 3'!J39+'REGION 6'!J43+'REGION 7'!J12+'REGION 9'!J15+'REGION 10'!J10+'REGION 11'!J8+'REGION 13'!J10+'LHFC June 1st'!J51</f>
        <v>377275000</v>
      </c>
      <c r="I12" s="153">
        <f>'SC5 Student Loans'!J12</f>
        <v>188875000</v>
      </c>
      <c r="J12" s="153">
        <f>'SC6 OTHER'!J28</f>
        <v>245950000</v>
      </c>
      <c r="K12" s="153">
        <f>Collapse!$J$70</f>
        <v>1043449000</v>
      </c>
      <c r="L12" s="286">
        <f>SUM(B12/B$6)</f>
        <v>1.3071916909418764</v>
      </c>
    </row>
    <row r="13" spans="1:12" s="43" customFormat="1">
      <c r="A13" s="252"/>
      <c r="B13" s="247"/>
      <c r="C13" s="153"/>
      <c r="D13" s="153"/>
      <c r="E13" s="153"/>
      <c r="F13" s="153"/>
      <c r="G13" s="153"/>
      <c r="H13" s="153"/>
      <c r="I13" s="153"/>
      <c r="J13" s="153"/>
      <c r="K13" s="153"/>
    </row>
    <row r="14" spans="1:12" s="43" customFormat="1">
      <c r="A14" s="252" t="s">
        <v>444</v>
      </c>
      <c r="B14" s="247">
        <f>SUM(C14:K14)</f>
        <v>1220585311</v>
      </c>
      <c r="C14" s="153">
        <f>'SC1 MRB'!$N$24</f>
        <v>248353311</v>
      </c>
      <c r="D14" s="153">
        <f>+'SC2 State Voted'!L10</f>
        <v>0</v>
      </c>
      <c r="E14" s="153">
        <f>+'SC3 Small Issue IDBs'!L11</f>
        <v>4225000</v>
      </c>
      <c r="F14" s="153">
        <f>'SC4 TSAHC'!L9</f>
        <v>0</v>
      </c>
      <c r="G14" s="153">
        <f>+'SC4 MF- TDHCA'!L46</f>
        <v>87960000</v>
      </c>
      <c r="H14" s="153">
        <f>'REGION 1'!L12+'REGION 3'!L39+'REGION 6'!L43+'REGION 7'!L12+'REGION 9'!L15+'REGION 10'!L10+'REGION 11'!L8+'REGION 13'!L10+'LHFC June 1st'!L51</f>
        <v>69480000</v>
      </c>
      <c r="I14" s="153">
        <f>+'SC5 Student Loans'!L12</f>
        <v>188850000</v>
      </c>
      <c r="J14" s="153">
        <f>'SC6 OTHER'!L28</f>
        <v>126550000</v>
      </c>
      <c r="K14" s="153">
        <f>Collapse!$L$70</f>
        <v>495167000</v>
      </c>
      <c r="L14" s="286">
        <f>SUM(B14/B$6)</f>
        <v>0.67840380002740774</v>
      </c>
    </row>
    <row r="15" spans="1:12" s="43" customFormat="1">
      <c r="A15" s="252"/>
      <c r="B15" s="247"/>
      <c r="C15" s="153"/>
      <c r="D15" s="153"/>
      <c r="E15" s="153"/>
      <c r="F15" s="153"/>
      <c r="G15" s="153"/>
      <c r="H15" s="301"/>
      <c r="I15" s="153"/>
      <c r="J15" s="153"/>
      <c r="K15" s="153"/>
    </row>
    <row r="16" spans="1:12" s="43" customFormat="1">
      <c r="A16" s="252" t="s">
        <v>87</v>
      </c>
      <c r="B16" s="247">
        <f>SUM(C16:K16)</f>
        <v>895175728</v>
      </c>
      <c r="C16" s="153">
        <f>'SC1 MRB'!$O$24</f>
        <v>129009543</v>
      </c>
      <c r="D16" s="153">
        <f>+'SC2 State Voted'!M10</f>
        <v>0</v>
      </c>
      <c r="E16" s="153">
        <f>+'SC3 Small Issue IDBs'!M11</f>
        <v>0</v>
      </c>
      <c r="F16" s="153">
        <f>+'SC4 MF- TDHCA'!K46</f>
        <v>0</v>
      </c>
      <c r="G16" s="153">
        <f>+'SC4 MF- TDHCA'!M46</f>
        <v>129740000</v>
      </c>
      <c r="H16" s="153">
        <f>'REGION 1'!M12+'REGION 3'!M39+'REGION 6'!M43+'REGION 7'!M12+'REGION 9'!M15+'REGION 10'!M10+'REGION 11'!M8+'REGION 13'!M10+'LHFC June 1st'!M51</f>
        <v>446960000</v>
      </c>
      <c r="I16" s="153">
        <f>+'SC5 Student Loans'!M12</f>
        <v>66185</v>
      </c>
      <c r="J16" s="153">
        <f>'SC6 OTHER'!M28</f>
        <v>189400000</v>
      </c>
      <c r="K16" s="153"/>
      <c r="L16" s="286">
        <f>SUM(B16/B$6)</f>
        <v>0.49754049151219149</v>
      </c>
    </row>
    <row r="17" spans="1:12" s="43" customFormat="1">
      <c r="A17" s="251"/>
      <c r="B17" s="247"/>
      <c r="C17" s="153"/>
      <c r="D17" s="153"/>
      <c r="E17" s="153"/>
      <c r="F17" s="153"/>
      <c r="G17" s="153"/>
      <c r="H17" s="153"/>
      <c r="I17" s="153"/>
      <c r="J17" s="153"/>
      <c r="K17" s="153"/>
    </row>
    <row r="18" spans="1:12" s="43" customFormat="1">
      <c r="A18" s="251" t="s">
        <v>49</v>
      </c>
      <c r="B18" s="247">
        <f>SUM(C18:K18)</f>
        <v>1305732958</v>
      </c>
      <c r="C18" s="153">
        <f>+C8-C10</f>
        <v>39450325</v>
      </c>
      <c r="D18" s="153">
        <f t="shared" ref="D18:J18" si="1">+D8-D10</f>
        <v>0</v>
      </c>
      <c r="E18" s="153">
        <f t="shared" si="1"/>
        <v>0</v>
      </c>
      <c r="F18" s="153">
        <f t="shared" si="1"/>
        <v>0</v>
      </c>
      <c r="G18" s="153">
        <f t="shared" si="1"/>
        <v>204350000</v>
      </c>
      <c r="H18" s="153">
        <f t="shared" si="1"/>
        <v>1061932633</v>
      </c>
      <c r="I18" s="153">
        <f t="shared" si="1"/>
        <v>0</v>
      </c>
      <c r="J18" s="153">
        <f t="shared" si="1"/>
        <v>0</v>
      </c>
      <c r="K18" s="153"/>
      <c r="L18" s="286">
        <f>SUM(B18/B$6)</f>
        <v>0.72572903552517642</v>
      </c>
    </row>
    <row r="19" spans="1:12" s="43" customFormat="1">
      <c r="A19" s="251"/>
      <c r="B19" s="248"/>
      <c r="C19" s="153"/>
      <c r="D19" s="153"/>
      <c r="E19" s="153"/>
      <c r="F19" s="153"/>
      <c r="G19" s="153"/>
      <c r="H19" s="153"/>
      <c r="I19" s="200"/>
      <c r="J19" s="153"/>
      <c r="K19" s="153"/>
    </row>
    <row r="20" spans="1:12" s="43" customFormat="1">
      <c r="A20" s="250" t="s">
        <v>367</v>
      </c>
      <c r="B20" s="271">
        <f>SUM(C20+D20+E20+F20+G20+H20+I20+J20)</f>
        <v>1073783449</v>
      </c>
      <c r="C20" s="211">
        <f t="shared" ref="C20:J20" si="2">+C6-C10+C16</f>
        <v>255423182</v>
      </c>
      <c r="D20" s="211">
        <f>+D6-D10+D16</f>
        <v>143936141</v>
      </c>
      <c r="E20" s="211">
        <f t="shared" si="2"/>
        <v>31759035</v>
      </c>
      <c r="F20" s="211">
        <f t="shared" si="2"/>
        <v>39582439</v>
      </c>
      <c r="G20" s="211">
        <f t="shared" si="2"/>
        <v>-8795122</v>
      </c>
      <c r="H20" s="211">
        <f t="shared" si="2"/>
        <v>207597071</v>
      </c>
      <c r="I20" s="211">
        <f t="shared" si="2"/>
        <v>66185</v>
      </c>
      <c r="J20" s="211">
        <f t="shared" si="2"/>
        <v>404214518</v>
      </c>
      <c r="K20" s="351"/>
    </row>
    <row r="21" spans="1:12" ht="12.95" customHeight="1">
      <c r="A21" s="253"/>
      <c r="B21" s="249"/>
      <c r="C21" s="59"/>
      <c r="D21" s="59"/>
      <c r="E21" s="59"/>
      <c r="F21" s="59"/>
      <c r="G21" s="59"/>
      <c r="H21" s="59"/>
      <c r="I21" s="120"/>
      <c r="J21" s="59"/>
      <c r="K21" s="59"/>
    </row>
    <row r="22" spans="1:12">
      <c r="A22" s="253" t="s">
        <v>139</v>
      </c>
      <c r="B22" s="247">
        <f>SUM(C22+D22+E22+G22+H22+I22+J22)</f>
        <v>36336181</v>
      </c>
      <c r="C22" s="59">
        <f>SUM('2002 CF'!G6:G7)</f>
        <v>21336181</v>
      </c>
      <c r="D22" s="59">
        <v>0</v>
      </c>
      <c r="E22" s="59">
        <v>0</v>
      </c>
      <c r="F22" s="59">
        <v>0</v>
      </c>
      <c r="G22" s="59">
        <v>0</v>
      </c>
      <c r="H22" s="59">
        <f>'2002 CF'!M12</f>
        <v>15000000</v>
      </c>
      <c r="I22" s="59">
        <v>0</v>
      </c>
      <c r="J22" s="59">
        <v>0</v>
      </c>
      <c r="K22" s="59"/>
    </row>
    <row r="23" spans="1:12">
      <c r="A23" s="253" t="s">
        <v>140</v>
      </c>
      <c r="B23" s="247">
        <f>SUM(C23+D23+E23+G23+H23+I23+J23)</f>
        <v>113150000</v>
      </c>
      <c r="C23" s="59">
        <v>0</v>
      </c>
      <c r="D23" s="59">
        <v>0</v>
      </c>
      <c r="E23" s="59">
        <v>0</v>
      </c>
      <c r="F23" s="59">
        <v>0</v>
      </c>
      <c r="G23" s="144">
        <v>0</v>
      </c>
      <c r="H23" s="59">
        <f>SUM('REGION 6'!M54+'2003 CF'!M14+'2003 CF'!M16+'2003 CF'!M17)+'2003 CF'!M14</f>
        <v>60150000</v>
      </c>
      <c r="I23" s="59">
        <v>0</v>
      </c>
      <c r="J23" s="59">
        <f>'2003 CF'!G10</f>
        <v>53000000</v>
      </c>
      <c r="K23" s="59"/>
    </row>
    <row r="24" spans="1:12">
      <c r="A24" s="253" t="s">
        <v>306</v>
      </c>
      <c r="B24" s="247">
        <f>SUM(C24:J24)</f>
        <v>680690575</v>
      </c>
      <c r="C24" s="59">
        <f>'2004 CF'!J28</f>
        <v>18910000</v>
      </c>
      <c r="D24" s="59">
        <v>0</v>
      </c>
      <c r="E24" s="59">
        <v>0</v>
      </c>
      <c r="F24" s="59">
        <f>SUM('SC4 TSAHC'!J15)</f>
        <v>15000000</v>
      </c>
      <c r="G24" s="144">
        <f>SUM('SC4 MF- TDHCA'!J66)+'2004 CF'!G7+'2004 CF'!G8+'2004 CF'!G9+'2004 CF'!G10</f>
        <v>194360000</v>
      </c>
      <c r="H24" s="59">
        <f>SUM('2004 CF'!J63)</f>
        <v>339155280</v>
      </c>
      <c r="I24" s="59">
        <f>SUM('SC5 Student Loans'!J19)</f>
        <v>58000000</v>
      </c>
      <c r="J24" s="59">
        <f>SUM('2004 CF'!G13:G16)</f>
        <v>55265295</v>
      </c>
      <c r="K24" s="59"/>
    </row>
    <row r="25" spans="1:12" ht="11.1" customHeight="1">
      <c r="A25" s="309" t="s">
        <v>363</v>
      </c>
      <c r="B25" s="247">
        <f>SUM(C25:J25)</f>
        <v>65295</v>
      </c>
      <c r="C25" s="59">
        <v>0</v>
      </c>
      <c r="D25" s="59">
        <v>0</v>
      </c>
      <c r="E25" s="59">
        <v>0</v>
      </c>
      <c r="F25" s="59">
        <v>0</v>
      </c>
      <c r="G25" s="59">
        <v>0</v>
      </c>
      <c r="H25" s="59">
        <v>0</v>
      </c>
      <c r="I25" s="59">
        <v>0</v>
      </c>
      <c r="J25" s="59">
        <f>'2004 CF'!M17+'2003 CF'!M10</f>
        <v>65295</v>
      </c>
      <c r="K25" s="59"/>
    </row>
    <row r="26" spans="1:12" ht="11.1" customHeight="1">
      <c r="B26" s="62"/>
      <c r="C26" s="59"/>
      <c r="D26" s="59"/>
      <c r="E26" s="59"/>
      <c r="F26" s="59"/>
      <c r="H26" s="59"/>
      <c r="J26" s="59"/>
      <c r="K26" s="59"/>
    </row>
    <row r="27" spans="1:12" ht="12.75" thickBot="1">
      <c r="B27" s="270">
        <f t="shared" ref="B27:I27" si="3">SUM(B20:B24)</f>
        <v>1903960205</v>
      </c>
      <c r="C27" s="234">
        <f t="shared" si="3"/>
        <v>295669363</v>
      </c>
      <c r="D27" s="234">
        <f>SUM(D20:D25)</f>
        <v>143936141</v>
      </c>
      <c r="E27" s="234">
        <f>SUM(E20:E25)</f>
        <v>31759035</v>
      </c>
      <c r="F27" s="234">
        <f t="shared" si="3"/>
        <v>54582439</v>
      </c>
      <c r="G27" s="234">
        <f t="shared" si="3"/>
        <v>185564878</v>
      </c>
      <c r="H27" s="234">
        <f t="shared" si="3"/>
        <v>621902351</v>
      </c>
      <c r="I27" s="234">
        <f t="shared" si="3"/>
        <v>58066185</v>
      </c>
      <c r="J27" s="234">
        <f>SUM(J20:J24)</f>
        <v>512479813</v>
      </c>
      <c r="K27" s="131"/>
    </row>
    <row r="28" spans="1:12" ht="12.75" thickTop="1">
      <c r="B28" s="220"/>
      <c r="D28" s="62"/>
      <c r="E28" s="62"/>
      <c r="H28" s="192"/>
    </row>
    <row r="29" spans="1:12">
      <c r="B29" s="59"/>
      <c r="D29" s="62"/>
      <c r="E29" s="62"/>
    </row>
    <row r="30" spans="1:12">
      <c r="B30" s="59"/>
      <c r="D30" s="307"/>
      <c r="E30" s="62"/>
      <c r="F30" s="324"/>
    </row>
    <row r="31" spans="1:12">
      <c r="B31" s="135"/>
      <c r="C31" s="139"/>
      <c r="D31" s="139"/>
      <c r="E31" s="139"/>
      <c r="F31" s="139"/>
      <c r="G31" s="139"/>
      <c r="H31" s="139"/>
      <c r="I31" s="139"/>
      <c r="J31" s="139"/>
      <c r="K31" s="139"/>
    </row>
    <row r="32" spans="1:12" ht="12" customHeight="1">
      <c r="B32" s="290"/>
      <c r="C32" s="139"/>
      <c r="D32" s="139"/>
      <c r="E32" s="139"/>
      <c r="F32" s="65"/>
      <c r="G32" s="139"/>
      <c r="H32" s="139"/>
      <c r="I32" s="139"/>
      <c r="J32" s="139"/>
      <c r="K32" s="139"/>
    </row>
    <row r="33" spans="2:11">
      <c r="B33" s="139"/>
      <c r="C33" s="367"/>
      <c r="D33" s="367"/>
      <c r="E33" s="367"/>
      <c r="F33" s="367"/>
      <c r="G33" s="367"/>
      <c r="H33" s="367"/>
      <c r="I33" s="367"/>
      <c r="J33" s="367"/>
      <c r="K33" s="139"/>
    </row>
    <row r="34" spans="2:11">
      <c r="B34" s="59"/>
      <c r="C34" s="59"/>
      <c r="D34" s="59"/>
      <c r="E34" s="59"/>
      <c r="F34" s="59"/>
      <c r="G34" s="59"/>
      <c r="H34" s="59"/>
      <c r="I34" s="59"/>
      <c r="J34" s="59"/>
      <c r="K34" s="59"/>
    </row>
    <row r="35" spans="2:11">
      <c r="B35" s="62"/>
      <c r="D35" s="62"/>
      <c r="E35" s="62"/>
      <c r="G35" s="61"/>
      <c r="H35" s="65"/>
    </row>
    <row r="36" spans="2:11">
      <c r="B36" s="148"/>
      <c r="D36" s="62"/>
      <c r="E36" s="62"/>
      <c r="G36" s="59"/>
    </row>
    <row r="37" spans="2:11">
      <c r="B37" s="120"/>
      <c r="D37" s="62"/>
      <c r="E37" s="62"/>
    </row>
    <row r="38" spans="2:11">
      <c r="B38" s="62"/>
      <c r="D38" s="62"/>
      <c r="E38" s="62"/>
    </row>
    <row r="39" spans="2:11">
      <c r="B39" s="120"/>
      <c r="D39" s="192"/>
      <c r="E39" s="62"/>
      <c r="H39" s="254"/>
    </row>
    <row r="40" spans="2:11">
      <c r="B40" s="62"/>
      <c r="D40" s="192"/>
      <c r="E40" s="62"/>
    </row>
    <row r="41" spans="2:11">
      <c r="B41" s="62"/>
      <c r="D41" s="192"/>
      <c r="E41" s="62"/>
    </row>
    <row r="42" spans="2:11">
      <c r="B42" s="62"/>
      <c r="D42" s="62"/>
      <c r="E42" s="62"/>
    </row>
    <row r="43" spans="2:11">
      <c r="B43" s="62"/>
      <c r="D43" s="62"/>
      <c r="E43" s="62"/>
    </row>
    <row r="44" spans="2:11">
      <c r="B44" s="62"/>
      <c r="D44" s="192"/>
      <c r="E44" s="62"/>
    </row>
    <row r="45" spans="2:11">
      <c r="B45" s="62"/>
      <c r="D45" s="62"/>
      <c r="E45" s="62"/>
      <c r="H45" s="192"/>
    </row>
    <row r="46" spans="2:11">
      <c r="B46" s="62"/>
      <c r="D46" s="62"/>
      <c r="E46" s="62"/>
    </row>
    <row r="47" spans="2:11">
      <c r="B47" s="62"/>
      <c r="D47" s="62"/>
      <c r="E47" s="62"/>
    </row>
    <row r="48" spans="2:11">
      <c r="B48" s="62"/>
      <c r="D48" s="62"/>
      <c r="E48" s="62"/>
    </row>
    <row r="49" spans="2:7">
      <c r="B49" s="62"/>
      <c r="D49" s="62"/>
      <c r="E49" s="62"/>
    </row>
    <row r="50" spans="2:7">
      <c r="B50" s="62"/>
      <c r="D50" s="62"/>
      <c r="E50" s="62"/>
    </row>
    <row r="51" spans="2:7">
      <c r="B51" s="62"/>
      <c r="D51" s="62"/>
      <c r="E51" s="62"/>
    </row>
    <row r="52" spans="2:7">
      <c r="B52" s="120"/>
      <c r="D52" s="62"/>
      <c r="E52" s="62"/>
    </row>
    <row r="53" spans="2:7">
      <c r="B53" s="148"/>
      <c r="D53" s="62"/>
      <c r="E53" s="62"/>
    </row>
    <row r="54" spans="2:7">
      <c r="B54" s="120"/>
      <c r="D54" s="62"/>
      <c r="E54" s="62"/>
    </row>
    <row r="55" spans="2:7">
      <c r="B55" s="120"/>
      <c r="D55" s="62"/>
      <c r="E55" s="62"/>
    </row>
    <row r="56" spans="2:7">
      <c r="B56" s="62"/>
      <c r="D56" s="62"/>
      <c r="E56" s="62"/>
      <c r="F56" s="194"/>
      <c r="G56" s="194"/>
    </row>
    <row r="57" spans="2:7">
      <c r="B57" s="62"/>
      <c r="D57" s="62"/>
      <c r="E57" s="62"/>
    </row>
    <row r="58" spans="2:7">
      <c r="B58" s="62"/>
      <c r="D58" s="62"/>
      <c r="E58" s="62"/>
    </row>
    <row r="59" spans="2:7">
      <c r="B59" s="62"/>
      <c r="D59" s="62"/>
      <c r="E59" s="62"/>
    </row>
    <row r="60" spans="2:7">
      <c r="B60" s="62"/>
      <c r="D60" s="62"/>
      <c r="E60" s="62"/>
    </row>
    <row r="61" spans="2:7">
      <c r="B61" s="62"/>
      <c r="D61" s="62"/>
      <c r="E61" s="62"/>
    </row>
    <row r="62" spans="2:7">
      <c r="B62" s="62"/>
      <c r="D62" s="62"/>
      <c r="E62" s="62"/>
    </row>
    <row r="63" spans="2:7">
      <c r="B63" s="62"/>
      <c r="D63" s="62"/>
      <c r="E63" s="62"/>
    </row>
    <row r="64" spans="2:7">
      <c r="B64" s="62"/>
      <c r="D64" s="62"/>
      <c r="E64" s="62"/>
    </row>
    <row r="65" spans="2:11">
      <c r="B65" s="62"/>
      <c r="D65" s="62"/>
      <c r="E65" s="62"/>
    </row>
    <row r="66" spans="2:11">
      <c r="B66" s="62"/>
      <c r="D66" s="62"/>
      <c r="E66" s="62"/>
    </row>
    <row r="67" spans="2:11">
      <c r="B67" s="62"/>
      <c r="D67" s="62"/>
      <c r="E67" s="62"/>
    </row>
    <row r="68" spans="2:11">
      <c r="B68" s="62"/>
      <c r="D68" s="62"/>
      <c r="E68" s="62"/>
    </row>
    <row r="69" spans="2:11">
      <c r="B69" s="62"/>
      <c r="D69" s="62"/>
      <c r="E69" s="62"/>
    </row>
    <row r="70" spans="2:11">
      <c r="B70" s="62"/>
      <c r="D70" s="62"/>
      <c r="E70" s="62"/>
    </row>
    <row r="71" spans="2:11">
      <c r="B71" s="62"/>
      <c r="D71" s="62"/>
      <c r="E71" s="62"/>
    </row>
    <row r="72" spans="2:11">
      <c r="B72" s="62"/>
      <c r="D72" s="62"/>
      <c r="E72" s="62"/>
      <c r="F72" s="192"/>
      <c r="G72" s="192"/>
    </row>
    <row r="73" spans="2:11">
      <c r="B73" s="62"/>
      <c r="D73" s="148"/>
      <c r="E73" s="148"/>
      <c r="F73" s="148"/>
      <c r="G73" s="148"/>
      <c r="J73" s="194"/>
      <c r="K73" s="194"/>
    </row>
    <row r="74" spans="2:11">
      <c r="B74" s="62"/>
      <c r="D74" s="62"/>
      <c r="E74" s="62"/>
      <c r="F74" s="192"/>
      <c r="G74" s="192"/>
    </row>
    <row r="75" spans="2:11">
      <c r="B75" s="62"/>
      <c r="D75" s="62"/>
      <c r="E75" s="62"/>
      <c r="F75" s="194"/>
      <c r="G75" s="194"/>
    </row>
    <row r="76" spans="2:11">
      <c r="B76" s="62"/>
      <c r="C76" s="57"/>
      <c r="D76" s="62"/>
      <c r="E76" s="62"/>
    </row>
    <row r="77" spans="2:11">
      <c r="B77" s="62"/>
      <c r="D77" s="62"/>
      <c r="E77" s="62"/>
    </row>
    <row r="78" spans="2:11">
      <c r="B78" s="62"/>
      <c r="D78" s="62"/>
      <c r="E78" s="62"/>
    </row>
    <row r="79" spans="2:11">
      <c r="B79" s="62"/>
      <c r="D79" s="62"/>
      <c r="E79" s="62"/>
    </row>
    <row r="80" spans="2:11">
      <c r="B80" s="62"/>
      <c r="D80" s="62"/>
      <c r="E80" s="62"/>
    </row>
    <row r="81" s="62" customFormat="1"/>
    <row r="82" s="62" customFormat="1"/>
    <row r="83" s="62" customFormat="1"/>
    <row r="84" s="62" customFormat="1"/>
    <row r="85" s="62" customFormat="1"/>
    <row r="86" s="62" customFormat="1"/>
    <row r="87" s="62" customFormat="1"/>
    <row r="88" s="62" customFormat="1"/>
    <row r="89" s="62" customFormat="1"/>
    <row r="90" s="62" customFormat="1"/>
    <row r="91" s="62" customFormat="1"/>
    <row r="92" s="62" customFormat="1"/>
    <row r="93" s="62" customFormat="1"/>
    <row r="94" s="62" customFormat="1"/>
    <row r="95" s="62" customFormat="1"/>
    <row r="96" s="62" customFormat="1"/>
    <row r="97" s="62" customFormat="1"/>
    <row r="98" s="62" customFormat="1"/>
    <row r="99" s="62" customFormat="1"/>
  </sheetData>
  <phoneticPr fontId="0" type="noConversion"/>
  <pageMargins left="0.75" right="0.75" top="1" bottom="1" header="0.5" footer="0.5"/>
  <pageSetup orientation="landscape" horizontalDpi="4294967292" verticalDpi="4294967292" r:id="rId1"/>
  <headerFooter alignWithMargins="0">
    <oddHeader>&amp;C&amp;"Geneva,Bold"&amp;10STATE OF TEXAS
2005 PRIVATE ACTIVITY BOND ALLOCATION PROGRAM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L15" sqref="L15"/>
    </sheetView>
  </sheetViews>
  <sheetFormatPr defaultRowHeight="12"/>
  <cols>
    <col min="1" max="1" width="6.7109375" style="43" customWidth="1"/>
    <col min="2" max="2" width="7.85546875" style="43" bestFit="1" customWidth="1"/>
    <col min="3" max="3" width="19.140625" style="43" customWidth="1"/>
    <col min="4" max="4" width="19.42578125" style="43" customWidth="1"/>
    <col min="5" max="5" width="9.140625" style="43"/>
    <col min="6" max="7" width="12.85546875" style="43" bestFit="1" customWidth="1"/>
    <col min="8" max="8" width="13" style="43" bestFit="1" customWidth="1"/>
    <col min="9" max="9" width="9.5703125" style="43" bestFit="1" customWidth="1"/>
    <col min="10" max="10" width="12.85546875" style="43" bestFit="1" customWidth="1"/>
    <col min="11" max="11" width="9.5703125" style="43" bestFit="1" customWidth="1"/>
    <col min="12" max="12" width="12.7109375" style="43" bestFit="1" customWidth="1"/>
    <col min="13" max="13" width="12" style="43" bestFit="1" customWidth="1"/>
    <col min="14" max="14" width="11.140625" style="43" bestFit="1" customWidth="1"/>
    <col min="15" max="15" width="12.42578125" style="43" bestFit="1" customWidth="1"/>
    <col min="16" max="16384" width="9.140625" style="43"/>
  </cols>
  <sheetData>
    <row r="1" spans="1:15">
      <c r="A1" s="66" t="s">
        <v>537</v>
      </c>
      <c r="B1" s="67"/>
      <c r="C1" s="321">
        <f>'SC1 MRB'!F28+'SC2 State Voted'!F14+'SC3 Small Issue IDBs'!F15+'SC4 TSAHC'!F13+'SC4 MF- TDHCA'!F69+'LHFC June 1st'!F55+'SC5 Student Loans'!F16+'SC6 OTHER'!F32</f>
        <v>1155373449</v>
      </c>
      <c r="D1" s="68"/>
      <c r="E1" s="68"/>
      <c r="F1" s="326"/>
      <c r="G1" s="69"/>
      <c r="H1" s="338"/>
      <c r="I1" s="72"/>
      <c r="J1" s="69"/>
      <c r="K1" s="72"/>
      <c r="L1" s="109"/>
      <c r="M1" s="109"/>
      <c r="N1" s="73">
        <f>'SC1 MRB'!P1</f>
        <v>36893</v>
      </c>
    </row>
    <row r="2" spans="1:15">
      <c r="A2" s="75"/>
      <c r="B2" s="54"/>
      <c r="C2" s="76"/>
      <c r="D2" s="76"/>
      <c r="E2" s="76"/>
      <c r="F2" s="165"/>
      <c r="G2" s="77"/>
      <c r="H2" s="149"/>
      <c r="I2" s="80"/>
      <c r="J2" s="77"/>
      <c r="K2" s="80"/>
      <c r="L2" s="113"/>
      <c r="M2" s="113"/>
      <c r="N2" s="81"/>
    </row>
    <row r="3" spans="1:15">
      <c r="A3" s="83"/>
      <c r="B3" s="82"/>
      <c r="C3" s="54"/>
      <c r="D3" s="54"/>
      <c r="E3" s="54"/>
      <c r="F3" s="165"/>
      <c r="G3" s="77"/>
      <c r="H3" s="149"/>
      <c r="I3" s="80"/>
      <c r="J3" s="77"/>
      <c r="K3" s="80"/>
      <c r="L3" s="111"/>
      <c r="M3" s="111"/>
      <c r="N3" s="81"/>
    </row>
    <row r="4" spans="1:15">
      <c r="A4" s="83" t="s">
        <v>54</v>
      </c>
      <c r="B4" s="54" t="s">
        <v>66</v>
      </c>
      <c r="C4" s="54" t="s">
        <v>52</v>
      </c>
      <c r="D4" s="54" t="s">
        <v>83</v>
      </c>
      <c r="E4" s="54" t="s">
        <v>79</v>
      </c>
      <c r="F4" s="206" t="s">
        <v>42</v>
      </c>
      <c r="G4" s="84" t="s">
        <v>13</v>
      </c>
      <c r="H4" s="53" t="s">
        <v>26</v>
      </c>
      <c r="I4" s="53" t="s">
        <v>56</v>
      </c>
      <c r="J4" s="84" t="s">
        <v>7</v>
      </c>
      <c r="K4" s="53"/>
      <c r="L4" s="113" t="s">
        <v>47</v>
      </c>
      <c r="M4" s="113" t="s">
        <v>78</v>
      </c>
      <c r="N4" s="81" t="s">
        <v>41</v>
      </c>
    </row>
    <row r="5" spans="1:15">
      <c r="A5" s="83" t="s">
        <v>82</v>
      </c>
      <c r="B5" s="82"/>
      <c r="C5" s="76"/>
      <c r="D5" s="76"/>
      <c r="E5" s="76"/>
      <c r="F5" s="206" t="s">
        <v>75</v>
      </c>
      <c r="G5" s="84" t="s">
        <v>75</v>
      </c>
      <c r="H5" s="53" t="s">
        <v>14</v>
      </c>
      <c r="I5" s="53" t="s">
        <v>35</v>
      </c>
      <c r="J5" s="84" t="s">
        <v>75</v>
      </c>
      <c r="K5" s="53" t="s">
        <v>35</v>
      </c>
      <c r="L5" s="113" t="s">
        <v>75</v>
      </c>
      <c r="M5" s="113" t="s">
        <v>75</v>
      </c>
      <c r="N5" s="81" t="s">
        <v>8</v>
      </c>
    </row>
    <row r="6" spans="1:15" ht="12.75" thickBot="1">
      <c r="A6" s="98" t="s">
        <v>53</v>
      </c>
      <c r="B6" s="85"/>
      <c r="C6" s="85"/>
      <c r="D6" s="85"/>
      <c r="E6" s="85"/>
      <c r="F6" s="241"/>
      <c r="G6" s="137"/>
      <c r="H6" s="340"/>
      <c r="I6" s="101"/>
      <c r="J6" s="137"/>
      <c r="K6" s="101"/>
      <c r="L6" s="115"/>
      <c r="M6" s="115"/>
      <c r="N6" s="102" t="s">
        <v>14</v>
      </c>
    </row>
    <row r="8" spans="1:15" s="55" customFormat="1">
      <c r="A8" s="325">
        <v>3071</v>
      </c>
      <c r="B8" s="117" t="s">
        <v>308</v>
      </c>
      <c r="C8" s="46" t="s">
        <v>165</v>
      </c>
      <c r="D8" s="117" t="s">
        <v>261</v>
      </c>
      <c r="E8" s="117" t="s">
        <v>61</v>
      </c>
      <c r="F8" s="206">
        <v>14600000</v>
      </c>
      <c r="G8" s="206">
        <v>14600000</v>
      </c>
      <c r="H8" s="339">
        <v>37120</v>
      </c>
      <c r="I8" s="349">
        <f>SUM(H8+35)</f>
        <v>37155</v>
      </c>
      <c r="J8" s="206">
        <v>14600000</v>
      </c>
      <c r="K8" s="349">
        <f>SUM(H8+150)</f>
        <v>37270</v>
      </c>
      <c r="L8" s="206"/>
      <c r="M8" s="160"/>
      <c r="N8" s="49"/>
    </row>
    <row r="9" spans="1:15">
      <c r="A9" s="64">
        <v>3072</v>
      </c>
      <c r="B9" s="43" t="s">
        <v>368</v>
      </c>
      <c r="C9" s="43" t="s">
        <v>20</v>
      </c>
      <c r="D9" s="43" t="s">
        <v>523</v>
      </c>
      <c r="E9" s="43" t="s">
        <v>439</v>
      </c>
      <c r="F9" s="165">
        <v>10500000</v>
      </c>
      <c r="G9" s="165">
        <v>10500000</v>
      </c>
      <c r="H9" s="222">
        <v>37121</v>
      </c>
      <c r="I9" s="293">
        <f>SUM(H9+35)</f>
        <v>37156</v>
      </c>
      <c r="J9" s="161">
        <v>0</v>
      </c>
      <c r="K9" s="293">
        <f>SUM(H9+150)</f>
        <v>37271</v>
      </c>
      <c r="L9" s="165">
        <v>0</v>
      </c>
      <c r="M9" s="165">
        <f>G9-L9</f>
        <v>10500000</v>
      </c>
      <c r="N9" s="45">
        <v>37161</v>
      </c>
    </row>
    <row r="10" spans="1:15">
      <c r="A10" s="352">
        <v>3069</v>
      </c>
      <c r="B10" s="43" t="s">
        <v>307</v>
      </c>
      <c r="C10" s="43" t="s">
        <v>129</v>
      </c>
      <c r="D10" s="43" t="s">
        <v>299</v>
      </c>
      <c r="E10" s="43" t="s">
        <v>130</v>
      </c>
      <c r="F10" s="187">
        <v>20000000</v>
      </c>
      <c r="G10" s="187">
        <v>20000000</v>
      </c>
      <c r="H10" s="222">
        <v>37117</v>
      </c>
      <c r="I10" s="56">
        <f t="shared" ref="I10:I16" si="0">H10+35</f>
        <v>37152</v>
      </c>
      <c r="J10" s="187">
        <v>0</v>
      </c>
      <c r="K10" s="56">
        <f>H10+120</f>
        <v>37237</v>
      </c>
      <c r="L10" s="165">
        <v>0</v>
      </c>
      <c r="M10" s="165">
        <f>G10-L10</f>
        <v>20000000</v>
      </c>
      <c r="N10" s="45">
        <v>37149</v>
      </c>
    </row>
    <row r="11" spans="1:15" s="46" customFormat="1">
      <c r="A11" s="141">
        <v>3073</v>
      </c>
      <c r="B11" s="46" t="s">
        <v>308</v>
      </c>
      <c r="C11" s="46" t="s">
        <v>100</v>
      </c>
      <c r="D11" s="46" t="s">
        <v>442</v>
      </c>
      <c r="F11" s="206">
        <v>7685000</v>
      </c>
      <c r="G11" s="206">
        <v>7685000</v>
      </c>
      <c r="H11" s="283">
        <v>37124</v>
      </c>
      <c r="I11" s="52">
        <f t="shared" si="0"/>
        <v>37159</v>
      </c>
      <c r="J11" s="206">
        <v>7685000</v>
      </c>
      <c r="K11" s="52">
        <f>H11+180</f>
        <v>37304</v>
      </c>
    </row>
    <row r="12" spans="1:15" s="46" customFormat="1">
      <c r="A12" s="141">
        <v>3074</v>
      </c>
      <c r="B12" s="46" t="s">
        <v>308</v>
      </c>
      <c r="C12" s="46" t="s">
        <v>229</v>
      </c>
      <c r="D12" s="46" t="s">
        <v>442</v>
      </c>
      <c r="E12" s="46" t="s">
        <v>330</v>
      </c>
      <c r="F12" s="206">
        <v>3714000</v>
      </c>
      <c r="G12" s="206">
        <v>3714000</v>
      </c>
      <c r="H12" s="283">
        <v>37125</v>
      </c>
      <c r="I12" s="52">
        <f t="shared" si="0"/>
        <v>37160</v>
      </c>
      <c r="J12" s="206">
        <v>3714000</v>
      </c>
      <c r="K12" s="52">
        <f>H12+180</f>
        <v>37305</v>
      </c>
    </row>
    <row r="13" spans="1:15" s="46" customFormat="1">
      <c r="A13" s="141">
        <v>3075</v>
      </c>
      <c r="B13" s="46" t="s">
        <v>308</v>
      </c>
      <c r="C13" s="46" t="s">
        <v>524</v>
      </c>
      <c r="D13" s="46" t="s">
        <v>442</v>
      </c>
      <c r="F13" s="206">
        <v>1230000</v>
      </c>
      <c r="G13" s="206">
        <v>1230000</v>
      </c>
      <c r="H13" s="283">
        <v>37125</v>
      </c>
      <c r="I13" s="52">
        <f t="shared" si="0"/>
        <v>37160</v>
      </c>
      <c r="J13" s="206">
        <v>1230000</v>
      </c>
      <c r="K13" s="52">
        <f>H13+180</f>
        <v>37305</v>
      </c>
    </row>
    <row r="14" spans="1:15" s="46" customFormat="1">
      <c r="A14" s="141">
        <v>3076</v>
      </c>
      <c r="B14" s="46" t="s">
        <v>308</v>
      </c>
      <c r="C14" s="46" t="s">
        <v>1</v>
      </c>
      <c r="D14" s="46" t="s">
        <v>441</v>
      </c>
      <c r="F14" s="206">
        <v>25000000</v>
      </c>
      <c r="G14" s="206">
        <v>25000000</v>
      </c>
      <c r="H14" s="283">
        <v>37126</v>
      </c>
      <c r="I14" s="52">
        <f t="shared" si="0"/>
        <v>37161</v>
      </c>
      <c r="J14" s="206">
        <v>25000000</v>
      </c>
      <c r="K14" s="52">
        <f>H14+180</f>
        <v>37306</v>
      </c>
    </row>
    <row r="15" spans="1:15">
      <c r="A15" s="64">
        <v>3070</v>
      </c>
      <c r="B15" s="43" t="s">
        <v>395</v>
      </c>
      <c r="C15" s="43" t="s">
        <v>526</v>
      </c>
      <c r="D15" s="43" t="s">
        <v>533</v>
      </c>
      <c r="E15" s="43" t="s">
        <v>532</v>
      </c>
      <c r="F15" s="165">
        <v>15000000</v>
      </c>
      <c r="G15" s="165">
        <v>15000000</v>
      </c>
      <c r="H15" s="222">
        <v>37118</v>
      </c>
      <c r="I15" s="56">
        <f t="shared" si="0"/>
        <v>37153</v>
      </c>
      <c r="J15" s="165">
        <v>13500000</v>
      </c>
      <c r="K15" s="56">
        <f>H15+120</f>
        <v>37238</v>
      </c>
      <c r="L15" s="165">
        <v>12875000</v>
      </c>
      <c r="M15" s="165">
        <f>G15-L15</f>
        <v>2125000</v>
      </c>
      <c r="N15" s="45">
        <v>37239</v>
      </c>
      <c r="O15" s="43" t="s">
        <v>635</v>
      </c>
    </row>
    <row r="16" spans="1:15">
      <c r="A16" s="64">
        <v>3080</v>
      </c>
      <c r="B16" s="43" t="s">
        <v>395</v>
      </c>
      <c r="C16" s="43" t="s">
        <v>527</v>
      </c>
      <c r="D16" s="43" t="s">
        <v>441</v>
      </c>
      <c r="E16" s="43" t="s">
        <v>534</v>
      </c>
      <c r="F16" s="165">
        <v>25000000</v>
      </c>
      <c r="G16" s="165">
        <v>25000000</v>
      </c>
      <c r="H16" s="45">
        <v>37134</v>
      </c>
      <c r="I16" s="45">
        <f t="shared" si="0"/>
        <v>37169</v>
      </c>
      <c r="J16" s="187">
        <v>25000000</v>
      </c>
      <c r="K16" s="45">
        <f>H16+180</f>
        <v>37314</v>
      </c>
      <c r="L16" s="187">
        <v>24992000</v>
      </c>
      <c r="M16" s="187">
        <f>SUM(J16-L16)</f>
        <v>8000</v>
      </c>
      <c r="N16" s="45">
        <v>37216</v>
      </c>
      <c r="O16" s="43" t="s">
        <v>635</v>
      </c>
    </row>
    <row r="17" spans="1:15">
      <c r="A17" s="64" t="s">
        <v>525</v>
      </c>
      <c r="B17" s="43" t="s">
        <v>307</v>
      </c>
      <c r="C17" s="43" t="s">
        <v>1</v>
      </c>
      <c r="D17" s="43" t="s">
        <v>528</v>
      </c>
      <c r="E17" s="43" t="s">
        <v>529</v>
      </c>
      <c r="F17" s="165">
        <v>15000000</v>
      </c>
      <c r="G17" s="165">
        <v>0</v>
      </c>
      <c r="J17" s="165">
        <v>0</v>
      </c>
      <c r="L17" s="165">
        <v>0</v>
      </c>
      <c r="M17" s="165">
        <v>0</v>
      </c>
      <c r="N17" s="45">
        <v>37124</v>
      </c>
    </row>
    <row r="18" spans="1:15">
      <c r="A18" s="64">
        <v>3077</v>
      </c>
      <c r="B18" s="43" t="s">
        <v>307</v>
      </c>
      <c r="C18" s="43" t="s">
        <v>28</v>
      </c>
      <c r="D18" s="43" t="s">
        <v>530</v>
      </c>
      <c r="E18" s="43" t="s">
        <v>531</v>
      </c>
      <c r="F18" s="165">
        <v>13250000</v>
      </c>
      <c r="G18" s="165">
        <v>13250000</v>
      </c>
      <c r="H18" s="45">
        <v>37133</v>
      </c>
      <c r="I18" s="293">
        <f t="shared" ref="I18:I40" si="1">SUM(H18+35)</f>
        <v>37168</v>
      </c>
      <c r="J18" s="161">
        <v>13250000</v>
      </c>
      <c r="K18" s="293">
        <f>SUM(H18+150)</f>
        <v>37283</v>
      </c>
      <c r="L18" s="165">
        <v>0</v>
      </c>
      <c r="M18" s="165">
        <f>G18-L18</f>
        <v>13250000</v>
      </c>
      <c r="N18" s="45">
        <v>37217</v>
      </c>
    </row>
    <row r="19" spans="1:15" s="46" customFormat="1">
      <c r="A19" s="141">
        <v>3078</v>
      </c>
      <c r="B19" s="46" t="s">
        <v>308</v>
      </c>
      <c r="C19" s="46" t="s">
        <v>165</v>
      </c>
      <c r="D19" s="255" t="s">
        <v>382</v>
      </c>
      <c r="E19" s="255" t="s">
        <v>383</v>
      </c>
      <c r="F19" s="260">
        <v>14600000</v>
      </c>
      <c r="G19" s="260">
        <v>14600000</v>
      </c>
      <c r="H19" s="52">
        <v>37133</v>
      </c>
      <c r="I19" s="349">
        <f t="shared" si="1"/>
        <v>37168</v>
      </c>
      <c r="J19" s="160">
        <v>14600000</v>
      </c>
      <c r="K19" s="349">
        <f>SUM(H19+150)</f>
        <v>37283</v>
      </c>
    </row>
    <row r="20" spans="1:15" s="46" customFormat="1">
      <c r="A20" s="141">
        <v>3079</v>
      </c>
      <c r="B20" s="46" t="s">
        <v>308</v>
      </c>
      <c r="C20" s="46" t="s">
        <v>159</v>
      </c>
      <c r="D20" s="46" t="s">
        <v>160</v>
      </c>
      <c r="E20" s="46" t="s">
        <v>161</v>
      </c>
      <c r="F20" s="186">
        <v>7855000</v>
      </c>
      <c r="G20" s="186">
        <v>7855000</v>
      </c>
      <c r="H20" s="52">
        <v>37133</v>
      </c>
      <c r="I20" s="349">
        <f t="shared" si="1"/>
        <v>37168</v>
      </c>
      <c r="J20" s="160">
        <v>7855000</v>
      </c>
      <c r="K20" s="349">
        <f>SUM(H20+150)</f>
        <v>37283</v>
      </c>
    </row>
    <row r="21" spans="1:15">
      <c r="A21" s="64">
        <v>3081</v>
      </c>
      <c r="B21" s="43" t="s">
        <v>307</v>
      </c>
      <c r="C21" s="43" t="s">
        <v>542</v>
      </c>
      <c r="D21" s="164" t="s">
        <v>539</v>
      </c>
      <c r="E21" s="164" t="s">
        <v>541</v>
      </c>
      <c r="F21" s="273">
        <v>15000000</v>
      </c>
      <c r="G21" s="273">
        <v>15000000</v>
      </c>
      <c r="H21" s="45">
        <v>37134</v>
      </c>
      <c r="I21" s="293">
        <f t="shared" si="1"/>
        <v>37169</v>
      </c>
      <c r="J21" s="161">
        <v>0</v>
      </c>
      <c r="K21" s="293">
        <f>SUM(H21+150)</f>
        <v>37284</v>
      </c>
      <c r="L21" s="165">
        <v>0</v>
      </c>
      <c r="M21" s="165">
        <f>G21-L21</f>
        <v>15000000</v>
      </c>
      <c r="N21" s="45">
        <v>37168</v>
      </c>
    </row>
    <row r="22" spans="1:15">
      <c r="A22" s="64">
        <v>3082</v>
      </c>
      <c r="B22" s="43" t="s">
        <v>307</v>
      </c>
      <c r="C22" s="43" t="s">
        <v>1</v>
      </c>
      <c r="D22" s="43" t="s">
        <v>543</v>
      </c>
      <c r="E22" s="43" t="s">
        <v>540</v>
      </c>
      <c r="F22" s="165">
        <v>10000000</v>
      </c>
      <c r="G22" s="165">
        <v>10000000</v>
      </c>
      <c r="H22" s="45">
        <v>37134</v>
      </c>
      <c r="I22" s="293">
        <f t="shared" si="1"/>
        <v>37169</v>
      </c>
      <c r="J22" s="161">
        <v>0</v>
      </c>
      <c r="K22" s="293">
        <f>SUM(H22+150)</f>
        <v>37284</v>
      </c>
      <c r="L22" s="165">
        <v>0</v>
      </c>
      <c r="M22" s="165">
        <f>G22-L22</f>
        <v>10000000</v>
      </c>
      <c r="N22" s="45">
        <v>37161</v>
      </c>
    </row>
    <row r="23" spans="1:15">
      <c r="A23" s="64">
        <v>3083</v>
      </c>
      <c r="B23" s="43" t="s">
        <v>395</v>
      </c>
      <c r="C23" s="43" t="s">
        <v>57</v>
      </c>
      <c r="D23" s="43" t="s">
        <v>360</v>
      </c>
      <c r="E23" s="108" t="s">
        <v>361</v>
      </c>
      <c r="F23" s="165">
        <v>98800000</v>
      </c>
      <c r="G23" s="165">
        <v>98800000</v>
      </c>
      <c r="H23" s="45">
        <v>37159</v>
      </c>
      <c r="I23" s="293">
        <f t="shared" si="1"/>
        <v>37194</v>
      </c>
      <c r="J23" s="161">
        <v>98800000</v>
      </c>
      <c r="K23" s="293">
        <f>SUM(H23+120)</f>
        <v>37279</v>
      </c>
      <c r="L23" s="165">
        <v>98800000</v>
      </c>
      <c r="M23" s="165">
        <v>0</v>
      </c>
      <c r="N23" s="45">
        <v>37217</v>
      </c>
      <c r="O23" s="43" t="s">
        <v>635</v>
      </c>
    </row>
    <row r="24" spans="1:15">
      <c r="A24" s="64">
        <v>3084</v>
      </c>
      <c r="B24" s="43" t="s">
        <v>395</v>
      </c>
      <c r="C24" s="43" t="s">
        <v>286</v>
      </c>
      <c r="D24" s="43" t="s">
        <v>360</v>
      </c>
      <c r="E24" s="108" t="s">
        <v>361</v>
      </c>
      <c r="F24" s="165">
        <v>140340000</v>
      </c>
      <c r="G24" s="165">
        <v>140340000</v>
      </c>
      <c r="H24" s="222">
        <v>37161</v>
      </c>
      <c r="I24" s="56">
        <f t="shared" si="1"/>
        <v>37196</v>
      </c>
      <c r="J24" s="165">
        <v>140300000</v>
      </c>
      <c r="K24" s="56">
        <f>SUM(H24+120)</f>
        <v>37281</v>
      </c>
      <c r="L24" s="187">
        <v>140300000</v>
      </c>
      <c r="M24" s="187">
        <v>40000</v>
      </c>
      <c r="N24" s="45">
        <v>37244</v>
      </c>
      <c r="O24" s="43" t="s">
        <v>635</v>
      </c>
    </row>
    <row r="25" spans="1:15" s="46" customFormat="1">
      <c r="A25" s="141">
        <v>3085</v>
      </c>
      <c r="B25" s="46" t="s">
        <v>308</v>
      </c>
      <c r="C25" s="46" t="s">
        <v>58</v>
      </c>
      <c r="D25" s="46" t="s">
        <v>273</v>
      </c>
      <c r="E25" s="46" t="s">
        <v>342</v>
      </c>
      <c r="F25" s="185">
        <v>12500000</v>
      </c>
      <c r="G25" s="185">
        <v>12500000</v>
      </c>
      <c r="H25" s="52">
        <v>37161</v>
      </c>
      <c r="I25" s="349">
        <f t="shared" si="1"/>
        <v>37196</v>
      </c>
      <c r="J25" s="160">
        <v>12500000</v>
      </c>
      <c r="K25" s="349">
        <f>SUM(H25+150)</f>
        <v>37311</v>
      </c>
    </row>
    <row r="26" spans="1:15">
      <c r="A26" s="64">
        <v>3086</v>
      </c>
      <c r="B26" s="43" t="s">
        <v>307</v>
      </c>
      <c r="C26" s="43" t="s">
        <v>544</v>
      </c>
      <c r="D26" s="43" t="s">
        <v>545</v>
      </c>
      <c r="E26" s="108" t="s">
        <v>546</v>
      </c>
      <c r="F26" s="165">
        <v>50000000</v>
      </c>
      <c r="G26" s="165">
        <v>50000000</v>
      </c>
      <c r="H26" s="222">
        <v>37162</v>
      </c>
      <c r="I26" s="56">
        <f t="shared" si="1"/>
        <v>37197</v>
      </c>
      <c r="J26" s="187">
        <v>0</v>
      </c>
      <c r="K26" s="56">
        <f>SUM(H26+120)</f>
        <v>37282</v>
      </c>
      <c r="L26" s="165">
        <v>0</v>
      </c>
      <c r="M26" s="165">
        <f>G26-L26</f>
        <v>50000000</v>
      </c>
      <c r="N26" s="45">
        <v>37195</v>
      </c>
    </row>
    <row r="27" spans="1:15">
      <c r="A27" s="64">
        <v>3099</v>
      </c>
      <c r="B27" s="43" t="s">
        <v>395</v>
      </c>
      <c r="C27" s="43" t="s">
        <v>63</v>
      </c>
      <c r="D27" s="43" t="s">
        <v>360</v>
      </c>
      <c r="E27" s="108" t="s">
        <v>361</v>
      </c>
      <c r="F27" s="165">
        <v>170200000</v>
      </c>
      <c r="G27" s="165">
        <v>170141129</v>
      </c>
      <c r="H27" s="222">
        <v>37204</v>
      </c>
      <c r="I27" s="56">
        <f t="shared" si="1"/>
        <v>37239</v>
      </c>
      <c r="J27" s="165">
        <v>170100000</v>
      </c>
      <c r="K27" s="56">
        <f>SUM(H27+120)</f>
        <v>37324</v>
      </c>
      <c r="L27" s="165">
        <v>170100000</v>
      </c>
      <c r="M27" s="165">
        <f>G27-J27</f>
        <v>41129</v>
      </c>
      <c r="N27" s="45">
        <v>37244</v>
      </c>
      <c r="O27" s="386" t="s">
        <v>635</v>
      </c>
    </row>
    <row r="28" spans="1:15" s="46" customFormat="1">
      <c r="A28" s="141">
        <v>3087</v>
      </c>
      <c r="B28" s="46" t="s">
        <v>308</v>
      </c>
      <c r="C28" s="46" t="s">
        <v>165</v>
      </c>
      <c r="D28" s="46" t="s">
        <v>551</v>
      </c>
      <c r="E28" s="173" t="s">
        <v>61</v>
      </c>
      <c r="F28" s="206">
        <v>11000000</v>
      </c>
      <c r="G28" s="206">
        <v>11000000</v>
      </c>
      <c r="H28" s="283">
        <v>37168</v>
      </c>
      <c r="I28" s="349">
        <f t="shared" si="1"/>
        <v>37203</v>
      </c>
      <c r="J28" s="206">
        <v>11000000</v>
      </c>
      <c r="K28" s="349">
        <f>SUM(H28+150)</f>
        <v>37318</v>
      </c>
      <c r="M28" s="377"/>
    </row>
    <row r="29" spans="1:15" s="46" customFormat="1">
      <c r="A29" s="141">
        <v>3088</v>
      </c>
      <c r="B29" s="46" t="s">
        <v>308</v>
      </c>
      <c r="C29" s="46" t="s">
        <v>165</v>
      </c>
      <c r="D29" s="46" t="s">
        <v>547</v>
      </c>
      <c r="E29" s="173" t="s">
        <v>379</v>
      </c>
      <c r="F29" s="206">
        <v>15000000</v>
      </c>
      <c r="G29" s="206">
        <v>15000000</v>
      </c>
      <c r="H29" s="283">
        <v>37168</v>
      </c>
      <c r="I29" s="349">
        <f t="shared" si="1"/>
        <v>37203</v>
      </c>
      <c r="J29" s="206">
        <v>15000000</v>
      </c>
      <c r="K29" s="349">
        <f>SUM(H29+150)</f>
        <v>37318</v>
      </c>
    </row>
    <row r="30" spans="1:15">
      <c r="A30" s="64">
        <v>3089</v>
      </c>
      <c r="B30" s="43" t="s">
        <v>307</v>
      </c>
      <c r="C30" s="43" t="s">
        <v>132</v>
      </c>
      <c r="D30" s="43" t="s">
        <v>548</v>
      </c>
      <c r="E30" s="108" t="s">
        <v>412</v>
      </c>
      <c r="F30" s="165">
        <v>25000000</v>
      </c>
      <c r="G30" s="165">
        <v>25000000</v>
      </c>
      <c r="H30" s="45">
        <v>37170</v>
      </c>
      <c r="I30" s="293">
        <f t="shared" si="1"/>
        <v>37205</v>
      </c>
      <c r="J30" s="161">
        <v>25000000</v>
      </c>
      <c r="K30" s="56">
        <f>SUM(H30+120)</f>
        <v>37290</v>
      </c>
      <c r="L30" s="165">
        <v>0</v>
      </c>
      <c r="M30" s="165">
        <f>G30-L30</f>
        <v>25000000</v>
      </c>
      <c r="N30" s="45">
        <v>37225</v>
      </c>
    </row>
    <row r="31" spans="1:15" s="46" customFormat="1">
      <c r="A31" s="141">
        <v>3090</v>
      </c>
      <c r="B31" s="46" t="s">
        <v>308</v>
      </c>
      <c r="C31" s="46" t="s">
        <v>290</v>
      </c>
      <c r="D31" s="46" t="s">
        <v>291</v>
      </c>
      <c r="E31" s="173" t="s">
        <v>549</v>
      </c>
      <c r="F31" s="206">
        <v>25000000</v>
      </c>
      <c r="G31" s="206">
        <v>25000000</v>
      </c>
      <c r="H31" s="52">
        <v>37173</v>
      </c>
      <c r="I31" s="349">
        <f t="shared" si="1"/>
        <v>37208</v>
      </c>
      <c r="J31" s="160">
        <v>25000000</v>
      </c>
      <c r="K31" s="266">
        <f>SUM(H31+120)</f>
        <v>37293</v>
      </c>
    </row>
    <row r="32" spans="1:15" s="46" customFormat="1">
      <c r="A32" s="141">
        <v>3091</v>
      </c>
      <c r="B32" s="46" t="s">
        <v>308</v>
      </c>
      <c r="C32" s="46" t="s">
        <v>58</v>
      </c>
      <c r="D32" s="46" t="s">
        <v>550</v>
      </c>
      <c r="E32" s="46" t="s">
        <v>342</v>
      </c>
      <c r="F32" s="206">
        <v>15000000</v>
      </c>
      <c r="G32" s="206">
        <v>15000000</v>
      </c>
      <c r="H32" s="52">
        <v>37174</v>
      </c>
      <c r="I32" s="349">
        <f t="shared" si="1"/>
        <v>37209</v>
      </c>
      <c r="J32" s="160">
        <v>15000000</v>
      </c>
      <c r="K32" s="349">
        <f t="shared" ref="K32:K38" si="2">SUM(H32+150)</f>
        <v>37324</v>
      </c>
    </row>
    <row r="33" spans="1:15" s="46" customFormat="1">
      <c r="A33" s="141">
        <v>3092</v>
      </c>
      <c r="B33" s="46" t="s">
        <v>308</v>
      </c>
      <c r="C33" s="46" t="s">
        <v>77</v>
      </c>
      <c r="D33" s="46" t="s">
        <v>567</v>
      </c>
      <c r="E33" s="173" t="s">
        <v>61</v>
      </c>
      <c r="F33" s="206">
        <v>8000000</v>
      </c>
      <c r="G33" s="206">
        <v>8000000</v>
      </c>
      <c r="H33" s="52">
        <v>37176</v>
      </c>
      <c r="I33" s="349">
        <f t="shared" si="1"/>
        <v>37211</v>
      </c>
      <c r="J33" s="206">
        <v>8000000</v>
      </c>
      <c r="K33" s="349">
        <f t="shared" si="2"/>
        <v>37326</v>
      </c>
    </row>
    <row r="34" spans="1:15" s="46" customFormat="1">
      <c r="A34" s="141">
        <v>3093</v>
      </c>
      <c r="B34" s="46" t="s">
        <v>308</v>
      </c>
      <c r="C34" s="46" t="s">
        <v>58</v>
      </c>
      <c r="D34" s="46" t="s">
        <v>568</v>
      </c>
      <c r="E34" s="173" t="s">
        <v>342</v>
      </c>
      <c r="F34" s="206">
        <v>15000000</v>
      </c>
      <c r="G34" s="206">
        <v>15000000</v>
      </c>
      <c r="H34" s="52">
        <v>37182</v>
      </c>
      <c r="I34" s="349">
        <f t="shared" si="1"/>
        <v>37217</v>
      </c>
      <c r="J34" s="160">
        <v>15000000</v>
      </c>
      <c r="K34" s="349">
        <f t="shared" si="2"/>
        <v>37332</v>
      </c>
    </row>
    <row r="35" spans="1:15">
      <c r="A35" s="64" t="s">
        <v>569</v>
      </c>
      <c r="B35" s="43" t="s">
        <v>368</v>
      </c>
      <c r="C35" s="43" t="s">
        <v>165</v>
      </c>
      <c r="D35" s="43" t="s">
        <v>570</v>
      </c>
      <c r="E35" s="108" t="s">
        <v>571</v>
      </c>
      <c r="F35" s="165">
        <v>12300000</v>
      </c>
      <c r="G35" s="165">
        <v>0</v>
      </c>
      <c r="H35" s="45"/>
      <c r="I35" s="293"/>
      <c r="J35" s="161">
        <v>0</v>
      </c>
      <c r="K35" s="293">
        <f t="shared" si="2"/>
        <v>150</v>
      </c>
      <c r="L35" s="161">
        <v>0</v>
      </c>
      <c r="M35" s="161">
        <v>0</v>
      </c>
      <c r="N35" s="45">
        <v>37187</v>
      </c>
    </row>
    <row r="36" spans="1:15">
      <c r="A36" s="64">
        <v>3094</v>
      </c>
      <c r="B36" s="43" t="s">
        <v>395</v>
      </c>
      <c r="C36" s="43" t="s">
        <v>165</v>
      </c>
      <c r="D36" s="43" t="s">
        <v>577</v>
      </c>
      <c r="E36" s="108" t="s">
        <v>61</v>
      </c>
      <c r="F36" s="165">
        <v>5320000</v>
      </c>
      <c r="G36" s="165">
        <v>5320000</v>
      </c>
      <c r="H36" s="45">
        <v>37182</v>
      </c>
      <c r="I36" s="293">
        <f t="shared" si="1"/>
        <v>37217</v>
      </c>
      <c r="J36" s="165">
        <v>5320000</v>
      </c>
      <c r="K36" s="293">
        <f t="shared" si="2"/>
        <v>37332</v>
      </c>
      <c r="L36" s="161">
        <v>5320000</v>
      </c>
      <c r="M36" s="161">
        <v>0</v>
      </c>
      <c r="N36" s="45">
        <v>37251</v>
      </c>
      <c r="O36" s="43" t="s">
        <v>635</v>
      </c>
    </row>
    <row r="37" spans="1:15">
      <c r="A37" s="64">
        <v>3095</v>
      </c>
      <c r="B37" s="43" t="s">
        <v>307</v>
      </c>
      <c r="C37" s="43" t="s">
        <v>77</v>
      </c>
      <c r="D37" s="43" t="s">
        <v>578</v>
      </c>
      <c r="E37" s="108" t="s">
        <v>61</v>
      </c>
      <c r="F37" s="165">
        <v>15000000</v>
      </c>
      <c r="G37" s="165">
        <v>15000000</v>
      </c>
      <c r="H37" s="45">
        <v>37184</v>
      </c>
      <c r="I37" s="293">
        <f t="shared" si="1"/>
        <v>37219</v>
      </c>
      <c r="J37" s="161">
        <v>0</v>
      </c>
      <c r="K37" s="293">
        <f t="shared" si="2"/>
        <v>37334</v>
      </c>
      <c r="L37" s="165">
        <v>0</v>
      </c>
      <c r="M37" s="165">
        <f>G37-L37</f>
        <v>15000000</v>
      </c>
      <c r="N37" s="45">
        <v>37217</v>
      </c>
    </row>
    <row r="38" spans="1:15" s="46" customFormat="1">
      <c r="A38" s="141">
        <v>3096</v>
      </c>
      <c r="B38" s="46" t="s">
        <v>308</v>
      </c>
      <c r="C38" s="46" t="s">
        <v>77</v>
      </c>
      <c r="D38" s="46" t="s">
        <v>579</v>
      </c>
      <c r="E38" s="173" t="s">
        <v>529</v>
      </c>
      <c r="F38" s="206">
        <v>13000000</v>
      </c>
      <c r="G38" s="206">
        <v>13000000</v>
      </c>
      <c r="H38" s="52">
        <v>37184</v>
      </c>
      <c r="I38" s="349">
        <f t="shared" si="1"/>
        <v>37219</v>
      </c>
      <c r="J38" s="206">
        <v>13000000</v>
      </c>
      <c r="K38" s="349">
        <f t="shared" si="2"/>
        <v>37334</v>
      </c>
    </row>
    <row r="39" spans="1:15">
      <c r="A39" s="64" t="s">
        <v>581</v>
      </c>
      <c r="B39" s="43" t="s">
        <v>368</v>
      </c>
      <c r="C39" s="43" t="s">
        <v>580</v>
      </c>
      <c r="D39" s="43" t="s">
        <v>582</v>
      </c>
      <c r="E39" s="108" t="s">
        <v>583</v>
      </c>
      <c r="F39" s="165">
        <v>4000000</v>
      </c>
      <c r="G39" s="165">
        <v>0</v>
      </c>
      <c r="H39" s="45"/>
      <c r="I39" s="293"/>
      <c r="J39" s="161">
        <v>0</v>
      </c>
      <c r="K39" s="293"/>
      <c r="L39" s="161">
        <v>0</v>
      </c>
      <c r="M39" s="161">
        <v>0</v>
      </c>
      <c r="N39" s="45">
        <v>37225</v>
      </c>
    </row>
    <row r="40" spans="1:15" s="46" customFormat="1">
      <c r="A40" s="141">
        <v>3100</v>
      </c>
      <c r="B40" s="46" t="s">
        <v>308</v>
      </c>
      <c r="C40" s="46" t="s">
        <v>584</v>
      </c>
      <c r="D40" s="46" t="s">
        <v>591</v>
      </c>
      <c r="E40" s="173" t="s">
        <v>585</v>
      </c>
      <c r="F40" s="206">
        <v>5500000</v>
      </c>
      <c r="G40" s="206">
        <v>5500000</v>
      </c>
      <c r="H40" s="52">
        <v>37208</v>
      </c>
      <c r="I40" s="266">
        <f t="shared" si="1"/>
        <v>37243</v>
      </c>
      <c r="J40" s="206">
        <v>5500000</v>
      </c>
      <c r="K40" s="266">
        <f>SUM(H40+120)</f>
        <v>37328</v>
      </c>
    </row>
    <row r="41" spans="1:15" s="46" customFormat="1">
      <c r="A41" s="141">
        <v>3097</v>
      </c>
      <c r="B41" s="46" t="s">
        <v>308</v>
      </c>
      <c r="C41" s="46" t="s">
        <v>15</v>
      </c>
      <c r="D41" s="46" t="s">
        <v>586</v>
      </c>
      <c r="E41" s="173" t="s">
        <v>61</v>
      </c>
      <c r="F41" s="206">
        <v>10000000</v>
      </c>
      <c r="G41" s="206">
        <v>10000000</v>
      </c>
      <c r="H41" s="52">
        <v>37203</v>
      </c>
      <c r="I41" s="349">
        <f t="shared" ref="I41:I49" si="3">SUM(H41+35)</f>
        <v>37238</v>
      </c>
      <c r="J41" s="160">
        <v>10000000</v>
      </c>
      <c r="K41" s="349">
        <f>SUM(H41+150)</f>
        <v>37353</v>
      </c>
    </row>
    <row r="42" spans="1:15" s="46" customFormat="1">
      <c r="A42" s="141">
        <v>3104</v>
      </c>
      <c r="B42" s="46" t="s">
        <v>308</v>
      </c>
      <c r="C42" s="46" t="s">
        <v>58</v>
      </c>
      <c r="D42" s="46" t="s">
        <v>587</v>
      </c>
      <c r="E42" s="173" t="s">
        <v>342</v>
      </c>
      <c r="F42" s="206">
        <v>15000000</v>
      </c>
      <c r="G42" s="206">
        <v>15000000</v>
      </c>
      <c r="H42" s="52">
        <v>37210</v>
      </c>
      <c r="I42" s="349">
        <f t="shared" si="3"/>
        <v>37245</v>
      </c>
      <c r="J42" s="206">
        <v>15000000</v>
      </c>
      <c r="K42" s="349">
        <f>SUM(H42+150)</f>
        <v>37360</v>
      </c>
      <c r="M42" s="378"/>
    </row>
    <row r="43" spans="1:15" s="46" customFormat="1">
      <c r="A43" s="141">
        <v>3098</v>
      </c>
      <c r="B43" s="46" t="s">
        <v>308</v>
      </c>
      <c r="C43" s="46" t="s">
        <v>588</v>
      </c>
      <c r="D43" s="46" t="s">
        <v>589</v>
      </c>
      <c r="E43" s="173" t="s">
        <v>590</v>
      </c>
      <c r="F43" s="206">
        <v>15000000</v>
      </c>
      <c r="G43" s="206">
        <v>15000000</v>
      </c>
      <c r="H43" s="52">
        <v>37203</v>
      </c>
      <c r="I43" s="349">
        <f t="shared" si="3"/>
        <v>37238</v>
      </c>
      <c r="J43" s="160">
        <v>15000000</v>
      </c>
      <c r="K43" s="349">
        <f>SUM(H43+150)</f>
        <v>37353</v>
      </c>
    </row>
    <row r="44" spans="1:15" s="46" customFormat="1">
      <c r="A44" s="141">
        <v>3101</v>
      </c>
      <c r="B44" s="46" t="s">
        <v>308</v>
      </c>
      <c r="C44" s="46" t="s">
        <v>526</v>
      </c>
      <c r="D44" s="46" t="s">
        <v>592</v>
      </c>
      <c r="E44" s="173" t="s">
        <v>593</v>
      </c>
      <c r="F44" s="206">
        <v>50000000</v>
      </c>
      <c r="G44" s="206">
        <v>50000000</v>
      </c>
      <c r="H44" s="52">
        <v>37208</v>
      </c>
      <c r="I44" s="266">
        <f t="shared" si="3"/>
        <v>37243</v>
      </c>
      <c r="J44" s="206">
        <v>50000000</v>
      </c>
      <c r="K44" s="266">
        <f>SUM(H44+120)</f>
        <v>37328</v>
      </c>
    </row>
    <row r="45" spans="1:15">
      <c r="A45" s="64">
        <v>3102</v>
      </c>
      <c r="B45" s="43" t="s">
        <v>395</v>
      </c>
      <c r="C45" s="43" t="s">
        <v>28</v>
      </c>
      <c r="D45" s="43" t="s">
        <v>197</v>
      </c>
      <c r="E45" s="108" t="s">
        <v>531</v>
      </c>
      <c r="F45" s="165">
        <v>15000000</v>
      </c>
      <c r="G45" s="165">
        <v>15000000</v>
      </c>
      <c r="H45" s="45">
        <v>37210</v>
      </c>
      <c r="I45" s="293">
        <f t="shared" si="3"/>
        <v>37245</v>
      </c>
      <c r="J45" s="165">
        <v>15000000</v>
      </c>
      <c r="K45" s="293">
        <f>SUM(H45+150)</f>
        <v>37360</v>
      </c>
      <c r="L45" s="165">
        <v>15000000</v>
      </c>
      <c r="M45" s="161">
        <v>0</v>
      </c>
      <c r="N45" s="45">
        <v>37251</v>
      </c>
      <c r="O45" s="43" t="s">
        <v>636</v>
      </c>
    </row>
    <row r="46" spans="1:15" s="46" customFormat="1">
      <c r="A46" s="141">
        <v>3103</v>
      </c>
      <c r="B46" s="46" t="s">
        <v>308</v>
      </c>
      <c r="C46" s="46" t="s">
        <v>28</v>
      </c>
      <c r="D46" s="46" t="s">
        <v>594</v>
      </c>
      <c r="E46" s="173" t="s">
        <v>531</v>
      </c>
      <c r="F46" s="206">
        <v>13250000</v>
      </c>
      <c r="G46" s="206">
        <v>13250000</v>
      </c>
      <c r="H46" s="52">
        <v>37210</v>
      </c>
      <c r="I46" s="349">
        <f t="shared" si="3"/>
        <v>37245</v>
      </c>
      <c r="J46" s="160"/>
      <c r="K46" s="349">
        <f>SUM(H46+150)</f>
        <v>37360</v>
      </c>
      <c r="L46" s="160"/>
    </row>
    <row r="47" spans="1:15">
      <c r="A47" s="64">
        <v>3105</v>
      </c>
      <c r="B47" s="43" t="s">
        <v>395</v>
      </c>
      <c r="C47" s="43" t="s">
        <v>596</v>
      </c>
      <c r="D47" s="43" t="s">
        <v>595</v>
      </c>
      <c r="E47" s="108" t="s">
        <v>505</v>
      </c>
      <c r="F47" s="165">
        <v>16000000</v>
      </c>
      <c r="G47" s="165">
        <v>16000000</v>
      </c>
      <c r="H47" s="45">
        <v>37210</v>
      </c>
      <c r="I47" s="293">
        <f t="shared" si="3"/>
        <v>37245</v>
      </c>
      <c r="J47" s="165">
        <v>16000000</v>
      </c>
      <c r="K47" s="293">
        <f>SUM(H47+150)</f>
        <v>37360</v>
      </c>
      <c r="L47" s="165">
        <v>16000000</v>
      </c>
      <c r="M47" s="161">
        <v>0</v>
      </c>
      <c r="N47" s="45">
        <v>37251</v>
      </c>
      <c r="O47" s="43" t="s">
        <v>635</v>
      </c>
    </row>
    <row r="48" spans="1:15" s="46" customFormat="1">
      <c r="A48" s="141">
        <v>3118</v>
      </c>
      <c r="B48" s="46" t="s">
        <v>308</v>
      </c>
      <c r="C48" s="46" t="s">
        <v>598</v>
      </c>
      <c r="D48" s="46" t="s">
        <v>597</v>
      </c>
      <c r="E48" s="173" t="s">
        <v>492</v>
      </c>
      <c r="F48" s="206">
        <v>15000000</v>
      </c>
      <c r="G48" s="206">
        <v>15000000</v>
      </c>
      <c r="H48" s="52">
        <v>37216</v>
      </c>
      <c r="I48" s="349">
        <f t="shared" si="3"/>
        <v>37251</v>
      </c>
      <c r="J48" s="206">
        <v>15000000</v>
      </c>
      <c r="K48" s="349">
        <f>SUM(H48+150)</f>
        <v>37366</v>
      </c>
    </row>
    <row r="49" spans="1:15" s="46" customFormat="1">
      <c r="A49" s="141">
        <v>3119</v>
      </c>
      <c r="B49" s="46" t="s">
        <v>308</v>
      </c>
      <c r="C49" s="46" t="s">
        <v>15</v>
      </c>
      <c r="D49" s="46" t="s">
        <v>243</v>
      </c>
      <c r="E49" s="173" t="s">
        <v>61</v>
      </c>
      <c r="F49" s="206">
        <v>15000000</v>
      </c>
      <c r="G49" s="206">
        <v>15000000</v>
      </c>
      <c r="H49" s="52">
        <v>37217</v>
      </c>
      <c r="I49" s="349">
        <f t="shared" si="3"/>
        <v>37252</v>
      </c>
      <c r="J49" s="160">
        <v>15000000</v>
      </c>
      <c r="K49" s="349">
        <f>SUM(H49+150)</f>
        <v>37367</v>
      </c>
    </row>
    <row r="50" spans="1:15" s="46" customFormat="1">
      <c r="A50" s="141">
        <v>3106</v>
      </c>
      <c r="B50" s="46" t="s">
        <v>308</v>
      </c>
      <c r="C50" s="46" t="s">
        <v>229</v>
      </c>
      <c r="D50" s="46" t="s">
        <v>599</v>
      </c>
      <c r="E50" s="173" t="s">
        <v>600</v>
      </c>
      <c r="F50" s="206">
        <v>7945000</v>
      </c>
      <c r="G50" s="206">
        <v>7945000</v>
      </c>
      <c r="H50" s="52">
        <v>37211</v>
      </c>
      <c r="I50" s="349">
        <f>SUM(H50+35)</f>
        <v>37246</v>
      </c>
      <c r="J50" s="206">
        <v>7945000</v>
      </c>
      <c r="K50" s="349">
        <f t="shared" ref="K50:K56" si="4">SUM(H50+150)</f>
        <v>37361</v>
      </c>
    </row>
    <row r="51" spans="1:15" s="46" customFormat="1">
      <c r="A51" s="141">
        <v>3107</v>
      </c>
      <c r="B51" s="46" t="s">
        <v>308</v>
      </c>
      <c r="C51" s="46" t="s">
        <v>165</v>
      </c>
      <c r="D51" s="46" t="s">
        <v>601</v>
      </c>
      <c r="E51" s="173" t="s">
        <v>348</v>
      </c>
      <c r="F51" s="206">
        <v>10500000</v>
      </c>
      <c r="G51" s="206">
        <v>10500000</v>
      </c>
      <c r="H51" s="52">
        <v>37212</v>
      </c>
      <c r="I51" s="349">
        <f>SUM(H51+35)</f>
        <v>37247</v>
      </c>
      <c r="J51" s="206">
        <v>10500000</v>
      </c>
      <c r="K51" s="349">
        <f t="shared" si="4"/>
        <v>37362</v>
      </c>
    </row>
    <row r="52" spans="1:15" s="46" customFormat="1">
      <c r="A52" s="141">
        <v>3117</v>
      </c>
      <c r="B52" s="46" t="s">
        <v>308</v>
      </c>
      <c r="C52" s="46" t="s">
        <v>165</v>
      </c>
      <c r="D52" s="46" t="s">
        <v>520</v>
      </c>
      <c r="E52" s="173" t="s">
        <v>516</v>
      </c>
      <c r="F52" s="206">
        <v>10000000</v>
      </c>
      <c r="G52" s="206">
        <v>10000000</v>
      </c>
      <c r="H52" s="52">
        <v>37215</v>
      </c>
      <c r="I52" s="349">
        <f>SUM(H52+35)</f>
        <v>37250</v>
      </c>
      <c r="J52" s="206">
        <v>10000000</v>
      </c>
      <c r="K52" s="349">
        <f t="shared" si="4"/>
        <v>37365</v>
      </c>
    </row>
    <row r="53" spans="1:15" s="46" customFormat="1">
      <c r="A53" s="141">
        <v>3108</v>
      </c>
      <c r="B53" s="46" t="s">
        <v>308</v>
      </c>
      <c r="C53" s="46" t="s">
        <v>60</v>
      </c>
      <c r="D53" s="46" t="s">
        <v>611</v>
      </c>
      <c r="E53" s="173" t="s">
        <v>342</v>
      </c>
      <c r="F53" s="206">
        <v>4500000</v>
      </c>
      <c r="G53" s="206">
        <v>4500000</v>
      </c>
      <c r="H53" s="52">
        <v>37212</v>
      </c>
      <c r="I53" s="349">
        <f>SUM(H53+35)</f>
        <v>37247</v>
      </c>
      <c r="J53" s="160">
        <v>4500000</v>
      </c>
      <c r="K53" s="349">
        <f t="shared" si="4"/>
        <v>37362</v>
      </c>
    </row>
    <row r="54" spans="1:15" s="46" customFormat="1">
      <c r="A54" s="141">
        <v>3109</v>
      </c>
      <c r="B54" s="46" t="s">
        <v>308</v>
      </c>
      <c r="C54" s="46" t="s">
        <v>165</v>
      </c>
      <c r="D54" s="46" t="s">
        <v>613</v>
      </c>
      <c r="E54" s="173" t="s">
        <v>61</v>
      </c>
      <c r="F54" s="206">
        <v>13300000</v>
      </c>
      <c r="G54" s="206">
        <v>13300000</v>
      </c>
      <c r="H54" s="52">
        <v>37212</v>
      </c>
      <c r="I54" s="349">
        <f t="shared" ref="I54:I68" si="5">SUM(H54+35)</f>
        <v>37247</v>
      </c>
      <c r="J54" s="206">
        <v>13300000</v>
      </c>
      <c r="K54" s="349">
        <f t="shared" si="4"/>
        <v>37362</v>
      </c>
      <c r="O54" s="377"/>
    </row>
    <row r="55" spans="1:15">
      <c r="A55" s="64">
        <v>3110</v>
      </c>
      <c r="B55" s="43" t="s">
        <v>307</v>
      </c>
      <c r="C55" s="43" t="s">
        <v>165</v>
      </c>
      <c r="D55" s="43" t="s">
        <v>612</v>
      </c>
      <c r="E55" s="108" t="s">
        <v>61</v>
      </c>
      <c r="F55" s="165">
        <v>11000000</v>
      </c>
      <c r="G55" s="165">
        <v>11000000</v>
      </c>
      <c r="H55" s="45">
        <v>37212</v>
      </c>
      <c r="I55" s="293">
        <f t="shared" si="5"/>
        <v>37247</v>
      </c>
      <c r="J55" s="161">
        <v>0</v>
      </c>
      <c r="K55" s="293">
        <f t="shared" si="4"/>
        <v>37362</v>
      </c>
      <c r="L55" s="165">
        <v>0</v>
      </c>
      <c r="M55" s="165">
        <f>G55-L55</f>
        <v>11000000</v>
      </c>
      <c r="N55" s="45">
        <v>37244</v>
      </c>
    </row>
    <row r="56" spans="1:15" s="46" customFormat="1">
      <c r="A56" s="141">
        <v>3120</v>
      </c>
      <c r="B56" s="46" t="s">
        <v>308</v>
      </c>
      <c r="C56" s="46" t="s">
        <v>165</v>
      </c>
      <c r="D56" s="46" t="s">
        <v>610</v>
      </c>
      <c r="E56" s="173" t="s">
        <v>456</v>
      </c>
      <c r="F56" s="206">
        <v>13700000</v>
      </c>
      <c r="G56" s="206">
        <v>13700000</v>
      </c>
      <c r="H56" s="52">
        <v>37222</v>
      </c>
      <c r="I56" s="349">
        <f t="shared" si="5"/>
        <v>37257</v>
      </c>
      <c r="J56" s="206">
        <v>13700000</v>
      </c>
      <c r="K56" s="349">
        <f t="shared" si="4"/>
        <v>37372</v>
      </c>
    </row>
    <row r="57" spans="1:15">
      <c r="A57" s="64">
        <v>3111</v>
      </c>
      <c r="B57" s="43" t="s">
        <v>307</v>
      </c>
      <c r="C57" s="43" t="s">
        <v>165</v>
      </c>
      <c r="D57" s="43" t="s">
        <v>269</v>
      </c>
      <c r="E57" s="108" t="s">
        <v>342</v>
      </c>
      <c r="F57" s="165">
        <v>11590000</v>
      </c>
      <c r="G57" s="165">
        <v>11590000</v>
      </c>
      <c r="H57" s="45">
        <v>37212</v>
      </c>
      <c r="I57" s="293">
        <f t="shared" si="5"/>
        <v>37247</v>
      </c>
      <c r="J57" s="161">
        <v>0</v>
      </c>
      <c r="K57" s="293">
        <f>SUM(H57+150)</f>
        <v>37362</v>
      </c>
      <c r="L57" s="165">
        <v>0</v>
      </c>
      <c r="M57" s="165">
        <f>G57-L57</f>
        <v>11590000</v>
      </c>
      <c r="N57" s="45">
        <v>37244</v>
      </c>
    </row>
    <row r="58" spans="1:15" s="46" customFormat="1">
      <c r="A58" s="141">
        <v>3112</v>
      </c>
      <c r="B58" s="46" t="s">
        <v>308</v>
      </c>
      <c r="C58" s="46" t="s">
        <v>165</v>
      </c>
      <c r="D58" s="46" t="s">
        <v>616</v>
      </c>
      <c r="E58" s="173" t="s">
        <v>617</v>
      </c>
      <c r="F58" s="206">
        <v>6850000</v>
      </c>
      <c r="G58" s="206">
        <v>6850000</v>
      </c>
      <c r="H58" s="52">
        <v>37212</v>
      </c>
      <c r="I58" s="349">
        <f t="shared" si="5"/>
        <v>37247</v>
      </c>
      <c r="J58" s="206">
        <v>6850000</v>
      </c>
      <c r="K58" s="349">
        <f>SUM(H58+150)</f>
        <v>37362</v>
      </c>
    </row>
    <row r="59" spans="1:15" s="46" customFormat="1">
      <c r="A59" s="141">
        <v>3113</v>
      </c>
      <c r="B59" s="46" t="s">
        <v>308</v>
      </c>
      <c r="C59" s="46" t="s">
        <v>165</v>
      </c>
      <c r="D59" s="46" t="s">
        <v>618</v>
      </c>
      <c r="E59" s="173" t="s">
        <v>61</v>
      </c>
      <c r="F59" s="206">
        <v>15000000</v>
      </c>
      <c r="G59" s="206">
        <v>15000000</v>
      </c>
      <c r="H59" s="52">
        <v>37212</v>
      </c>
      <c r="I59" s="349">
        <f t="shared" si="5"/>
        <v>37247</v>
      </c>
      <c r="J59" s="206">
        <v>15000000</v>
      </c>
      <c r="K59" s="349">
        <f>SUM(H59+150)</f>
        <v>37362</v>
      </c>
    </row>
    <row r="60" spans="1:15" s="46" customFormat="1">
      <c r="A60" s="141">
        <v>3114</v>
      </c>
      <c r="B60" s="46" t="s">
        <v>308</v>
      </c>
      <c r="C60" s="46" t="s">
        <v>165</v>
      </c>
      <c r="D60" s="46" t="s">
        <v>619</v>
      </c>
      <c r="E60" s="173" t="s">
        <v>620</v>
      </c>
      <c r="F60" s="206">
        <v>16100000</v>
      </c>
      <c r="G60" s="206">
        <v>16100000</v>
      </c>
      <c r="H60" s="52">
        <v>37215</v>
      </c>
      <c r="I60" s="349">
        <f t="shared" si="5"/>
        <v>37250</v>
      </c>
      <c r="J60" s="206">
        <v>16100000</v>
      </c>
      <c r="K60" s="349">
        <f>SUM(H60+150)</f>
        <v>37365</v>
      </c>
    </row>
    <row r="61" spans="1:15" s="46" customFormat="1">
      <c r="A61" s="141">
        <v>3115</v>
      </c>
      <c r="B61" s="46" t="s">
        <v>308</v>
      </c>
      <c r="C61" s="46" t="s">
        <v>165</v>
      </c>
      <c r="D61" s="46" t="s">
        <v>621</v>
      </c>
      <c r="E61" s="173" t="s">
        <v>620</v>
      </c>
      <c r="F61" s="206">
        <v>14600000</v>
      </c>
      <c r="G61" s="206">
        <v>14600000</v>
      </c>
      <c r="H61" s="52">
        <v>37215</v>
      </c>
      <c r="I61" s="349">
        <f t="shared" si="5"/>
        <v>37250</v>
      </c>
      <c r="J61" s="206">
        <v>14600000</v>
      </c>
      <c r="K61" s="349">
        <f>SUM(H61+150)</f>
        <v>37365</v>
      </c>
    </row>
    <row r="62" spans="1:15" s="46" customFormat="1">
      <c r="A62" s="141">
        <v>3116</v>
      </c>
      <c r="B62" s="46" t="s">
        <v>308</v>
      </c>
      <c r="C62" s="46" t="s">
        <v>614</v>
      </c>
      <c r="D62" s="46" t="s">
        <v>615</v>
      </c>
      <c r="E62" s="173" t="s">
        <v>546</v>
      </c>
      <c r="F62" s="206">
        <v>40000000</v>
      </c>
      <c r="G62" s="206">
        <v>40000000</v>
      </c>
      <c r="H62" s="52">
        <v>37215</v>
      </c>
      <c r="I62" s="349">
        <f t="shared" si="5"/>
        <v>37250</v>
      </c>
      <c r="J62" s="206">
        <v>40000000</v>
      </c>
      <c r="K62" s="349">
        <f>SUM(H62+120)</f>
        <v>37335</v>
      </c>
    </row>
    <row r="63" spans="1:15" s="46" customFormat="1">
      <c r="A63" s="141">
        <v>3122</v>
      </c>
      <c r="B63" s="46" t="s">
        <v>308</v>
      </c>
      <c r="C63" s="46" t="s">
        <v>28</v>
      </c>
      <c r="D63" s="46" t="s">
        <v>484</v>
      </c>
      <c r="E63" s="173" t="s">
        <v>456</v>
      </c>
      <c r="F63" s="206">
        <v>14000000</v>
      </c>
      <c r="G63" s="206">
        <v>14000000</v>
      </c>
      <c r="H63" s="376">
        <v>37225</v>
      </c>
      <c r="I63" s="349">
        <f t="shared" si="5"/>
        <v>37260</v>
      </c>
      <c r="J63" s="206">
        <v>14000000</v>
      </c>
      <c r="K63" s="349">
        <f>SUM(H63+150)</f>
        <v>37375</v>
      </c>
    </row>
    <row r="64" spans="1:15" s="46" customFormat="1">
      <c r="A64" s="141">
        <v>3121</v>
      </c>
      <c r="B64" s="46" t="s">
        <v>308</v>
      </c>
      <c r="C64" s="46" t="s">
        <v>165</v>
      </c>
      <c r="D64" s="46" t="s">
        <v>622</v>
      </c>
      <c r="E64" s="173" t="s">
        <v>61</v>
      </c>
      <c r="F64" s="206">
        <v>15000000</v>
      </c>
      <c r="G64" s="206">
        <v>15000000</v>
      </c>
      <c r="H64" s="376">
        <v>37222</v>
      </c>
      <c r="I64" s="349">
        <f t="shared" si="5"/>
        <v>37257</v>
      </c>
      <c r="J64" s="206">
        <v>15000000</v>
      </c>
      <c r="K64" s="349">
        <f>SUM(H64+150)</f>
        <v>37372</v>
      </c>
    </row>
    <row r="65" spans="1:15">
      <c r="A65" s="64">
        <v>3123</v>
      </c>
      <c r="B65" s="43" t="s">
        <v>395</v>
      </c>
      <c r="C65" s="43" t="s">
        <v>58</v>
      </c>
      <c r="D65" s="43" t="s">
        <v>483</v>
      </c>
      <c r="E65" s="43" t="s">
        <v>342</v>
      </c>
      <c r="F65" s="187">
        <v>15000000</v>
      </c>
      <c r="G65" s="187">
        <v>15000000</v>
      </c>
      <c r="H65" s="382">
        <v>37225</v>
      </c>
      <c r="I65" s="293">
        <f t="shared" si="5"/>
        <v>37260</v>
      </c>
      <c r="J65" s="161">
        <v>15000000</v>
      </c>
      <c r="K65" s="293">
        <f>SUM(H65+150)</f>
        <v>37375</v>
      </c>
      <c r="L65" s="165">
        <v>11780000</v>
      </c>
      <c r="M65" s="165">
        <f>G65-L65</f>
        <v>3220000</v>
      </c>
      <c r="N65" s="45">
        <v>37238</v>
      </c>
      <c r="O65" s="43" t="s">
        <v>635</v>
      </c>
    </row>
    <row r="66" spans="1:15" s="46" customFormat="1">
      <c r="A66" s="141">
        <v>3124</v>
      </c>
      <c r="B66" s="46" t="s">
        <v>308</v>
      </c>
      <c r="C66" s="46" t="s">
        <v>28</v>
      </c>
      <c r="D66" s="46" t="s">
        <v>441</v>
      </c>
      <c r="E66" s="46" t="s">
        <v>624</v>
      </c>
      <c r="F66" s="185">
        <v>25000000</v>
      </c>
      <c r="G66" s="206">
        <f>SUM(F66*0.4)</f>
        <v>10000000</v>
      </c>
      <c r="H66" s="376">
        <v>37225</v>
      </c>
      <c r="I66" s="349">
        <f t="shared" si="5"/>
        <v>37260</v>
      </c>
      <c r="J66" s="160">
        <v>10000000</v>
      </c>
      <c r="K66" s="379">
        <f>H66+180</f>
        <v>37405</v>
      </c>
    </row>
    <row r="67" spans="1:15" s="46" customFormat="1">
      <c r="A67" s="141">
        <v>3125</v>
      </c>
      <c r="B67" s="46" t="s">
        <v>308</v>
      </c>
      <c r="C67" s="46" t="s">
        <v>132</v>
      </c>
      <c r="D67" s="46" t="s">
        <v>548</v>
      </c>
      <c r="E67" s="173" t="s">
        <v>412</v>
      </c>
      <c r="F67" s="206">
        <v>25000000</v>
      </c>
      <c r="G67" s="206">
        <v>25000000</v>
      </c>
      <c r="H67" s="376">
        <v>37225</v>
      </c>
      <c r="I67" s="349">
        <f t="shared" si="5"/>
        <v>37260</v>
      </c>
      <c r="J67" s="160"/>
      <c r="K67" s="266">
        <f>SUM(H67+120)</f>
        <v>37345</v>
      </c>
    </row>
    <row r="68" spans="1:15">
      <c r="A68" s="64">
        <v>3126</v>
      </c>
      <c r="B68" s="43" t="s">
        <v>307</v>
      </c>
      <c r="C68" s="43" t="s">
        <v>100</v>
      </c>
      <c r="D68" s="43" t="s">
        <v>626</v>
      </c>
      <c r="E68" s="108" t="s">
        <v>627</v>
      </c>
      <c r="F68" s="165">
        <v>7000000</v>
      </c>
      <c r="G68" s="165">
        <v>7000000</v>
      </c>
      <c r="H68" s="382">
        <v>37225</v>
      </c>
      <c r="I68" s="293">
        <f t="shared" si="5"/>
        <v>37260</v>
      </c>
      <c r="J68" s="161">
        <v>0</v>
      </c>
      <c r="K68" s="293">
        <f>SUM(H68+150)</f>
        <v>37375</v>
      </c>
      <c r="L68" s="161">
        <v>0</v>
      </c>
      <c r="M68" s="165">
        <f>G68-L68</f>
        <v>7000000</v>
      </c>
      <c r="N68" s="45">
        <v>37253</v>
      </c>
    </row>
    <row r="69" spans="1:15">
      <c r="E69" s="43" t="s">
        <v>12</v>
      </c>
      <c r="F69" s="206"/>
      <c r="G69" s="206"/>
    </row>
    <row r="70" spans="1:15">
      <c r="C70" s="274" t="s">
        <v>36</v>
      </c>
      <c r="D70" s="274"/>
      <c r="E70" s="274"/>
      <c r="F70" s="207">
        <f>SUM(F7:F69)</f>
        <v>1279729000</v>
      </c>
      <c r="G70" s="207">
        <f>SUM(G7:G69)</f>
        <v>1233370129</v>
      </c>
      <c r="H70" s="275"/>
      <c r="I70" s="276"/>
      <c r="J70" s="207">
        <f>SUM(J7:J69)</f>
        <v>1043449000</v>
      </c>
      <c r="K70" s="276"/>
      <c r="L70" s="207">
        <f>SUM(L7:L69)</f>
        <v>495167000</v>
      </c>
      <c r="M70" s="207">
        <f>SUM(M7:M69)</f>
        <v>193774129</v>
      </c>
    </row>
    <row r="71" spans="1:15">
      <c r="C71" s="47"/>
      <c r="D71" s="47"/>
      <c r="E71" s="47"/>
      <c r="F71" s="159"/>
      <c r="G71" s="170"/>
      <c r="H71" s="158"/>
      <c r="I71" s="60"/>
      <c r="J71" s="92"/>
      <c r="K71" s="60"/>
      <c r="L71" s="159"/>
      <c r="M71" s="163"/>
    </row>
    <row r="72" spans="1:15">
      <c r="C72" s="47" t="s">
        <v>76</v>
      </c>
      <c r="D72" s="47"/>
      <c r="E72" s="47"/>
      <c r="F72" s="159">
        <f>SUM(F70-G70)</f>
        <v>46358871</v>
      </c>
      <c r="G72" s="171"/>
      <c r="H72" s="172"/>
      <c r="I72" s="49"/>
      <c r="J72" s="132"/>
      <c r="K72" s="49"/>
      <c r="L72" s="179"/>
      <c r="M72" s="151"/>
    </row>
    <row r="73" spans="1:15">
      <c r="C73" s="47"/>
      <c r="D73" s="47"/>
      <c r="E73" s="47"/>
      <c r="F73" s="159"/>
      <c r="G73" s="171"/>
      <c r="H73" s="172"/>
      <c r="I73" s="49"/>
      <c r="J73" s="48"/>
      <c r="K73" s="49"/>
      <c r="L73" s="118"/>
      <c r="M73" s="51"/>
    </row>
    <row r="74" spans="1:15">
      <c r="C74" s="47" t="s">
        <v>16</v>
      </c>
      <c r="D74" s="47"/>
      <c r="E74" s="47"/>
      <c r="F74" s="167">
        <f>+C1-G70+M70</f>
        <v>115777449</v>
      </c>
      <c r="G74" s="171"/>
      <c r="H74" s="172"/>
      <c r="I74" s="49"/>
      <c r="J74" s="48"/>
      <c r="K74" s="49"/>
      <c r="L74" s="118"/>
      <c r="M74" s="51"/>
    </row>
    <row r="76" spans="1:15">
      <c r="C76" s="46" t="s">
        <v>28</v>
      </c>
      <c r="D76" s="43" t="s">
        <v>633</v>
      </c>
      <c r="F76" s="165">
        <v>15000000</v>
      </c>
    </row>
    <row r="77" spans="1:15" ht="12.75" thickBot="1">
      <c r="C77" s="141" t="s">
        <v>631</v>
      </c>
      <c r="F77" s="387">
        <f>SUM(F74:F76)</f>
        <v>130777449</v>
      </c>
      <c r="O77" s="201"/>
    </row>
    <row r="78" spans="1:15" ht="12.75" thickTop="1"/>
  </sheetData>
  <phoneticPr fontId="6" type="noConversion"/>
  <pageMargins left="0.75" right="0.75" top="1" bottom="1" header="0.5" footer="0.5"/>
  <pageSetup scale="54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topLeftCell="A7" zoomScaleNormal="100" workbookViewId="0">
      <selection activeCell="L51" sqref="L51"/>
    </sheetView>
  </sheetViews>
  <sheetFormatPr defaultRowHeight="12"/>
  <cols>
    <col min="1" max="1" width="7.85546875" style="43" customWidth="1"/>
    <col min="2" max="2" width="7.85546875" style="43" bestFit="1" customWidth="1"/>
    <col min="3" max="3" width="14.5703125" style="43" bestFit="1" customWidth="1"/>
    <col min="4" max="4" width="24.7109375" style="43" customWidth="1"/>
    <col min="5" max="5" width="9.140625" style="43"/>
    <col min="6" max="6" width="13" style="187" bestFit="1" customWidth="1"/>
    <col min="7" max="7" width="12.5703125" style="43" bestFit="1" customWidth="1"/>
    <col min="8" max="8" width="9.28515625" style="64" bestFit="1" customWidth="1"/>
    <col min="9" max="9" width="9.28515625" style="43" bestFit="1" customWidth="1"/>
    <col min="10" max="10" width="12.5703125" style="43" bestFit="1" customWidth="1"/>
    <col min="11" max="11" width="9.28515625" style="43" bestFit="1" customWidth="1"/>
    <col min="12" max="13" width="12.5703125" style="43" bestFit="1" customWidth="1"/>
    <col min="14" max="14" width="9.85546875" style="43" bestFit="1" customWidth="1"/>
    <col min="15" max="16384" width="9.140625" style="43"/>
  </cols>
  <sheetData>
    <row r="1" spans="1:14">
      <c r="A1" s="66" t="s">
        <v>19</v>
      </c>
      <c r="B1" s="67"/>
      <c r="C1" s="321">
        <f>'REGION 1'!F16+'REGION 3'!F43+'REGION 6'!F47+'REGION 7'!F16+'REGION 9'!F19+'REGION 10'!F14+'REGION 11'!F12+'REGION 13'!F14</f>
        <v>240297071</v>
      </c>
      <c r="D1" s="68"/>
      <c r="E1" s="68"/>
      <c r="F1" s="326"/>
      <c r="G1" s="69"/>
      <c r="H1" s="338"/>
      <c r="I1" s="72"/>
      <c r="J1" s="69"/>
      <c r="K1" s="72"/>
      <c r="L1" s="109"/>
      <c r="M1" s="109"/>
      <c r="N1" s="73">
        <f>'SC1 MRB'!P1</f>
        <v>36893</v>
      </c>
    </row>
    <row r="2" spans="1:14">
      <c r="A2" s="75" t="s">
        <v>538</v>
      </c>
      <c r="B2" s="54"/>
      <c r="C2" s="76"/>
      <c r="D2" s="76"/>
      <c r="E2" s="76"/>
      <c r="F2" s="165"/>
      <c r="G2" s="77"/>
      <c r="H2" s="149"/>
      <c r="I2" s="80"/>
      <c r="J2" s="77"/>
      <c r="K2" s="80"/>
      <c r="L2" s="113"/>
      <c r="M2" s="113"/>
      <c r="N2" s="81"/>
    </row>
    <row r="3" spans="1:14">
      <c r="A3" s="83"/>
      <c r="B3" s="82"/>
      <c r="C3" s="54"/>
      <c r="D3" s="54"/>
      <c r="E3" s="54"/>
      <c r="F3" s="165"/>
      <c r="G3" s="77"/>
      <c r="H3" s="149"/>
      <c r="I3" s="80"/>
      <c r="J3" s="77"/>
      <c r="K3" s="80"/>
      <c r="L3" s="111"/>
      <c r="M3" s="111"/>
      <c r="N3" s="81"/>
    </row>
    <row r="4" spans="1:14">
      <c r="A4" s="83" t="s">
        <v>54</v>
      </c>
      <c r="B4" s="54" t="s">
        <v>66</v>
      </c>
      <c r="C4" s="54" t="s">
        <v>52</v>
      </c>
      <c r="D4" s="54" t="s">
        <v>83</v>
      </c>
      <c r="E4" s="54" t="s">
        <v>79</v>
      </c>
      <c r="F4" s="206" t="s">
        <v>42</v>
      </c>
      <c r="G4" s="84" t="s">
        <v>13</v>
      </c>
      <c r="H4" s="53" t="s">
        <v>26</v>
      </c>
      <c r="I4" s="53" t="s">
        <v>56</v>
      </c>
      <c r="J4" s="84" t="s">
        <v>7</v>
      </c>
      <c r="K4" s="53" t="s">
        <v>95</v>
      </c>
      <c r="L4" s="113" t="s">
        <v>47</v>
      </c>
      <c r="M4" s="113" t="s">
        <v>78</v>
      </c>
      <c r="N4" s="81" t="s">
        <v>41</v>
      </c>
    </row>
    <row r="5" spans="1:14">
      <c r="A5" s="83" t="s">
        <v>82</v>
      </c>
      <c r="B5" s="82"/>
      <c r="C5" s="76"/>
      <c r="D5" s="76"/>
      <c r="E5" s="76"/>
      <c r="F5" s="206" t="s">
        <v>75</v>
      </c>
      <c r="G5" s="84" t="s">
        <v>75</v>
      </c>
      <c r="H5" s="53" t="s">
        <v>14</v>
      </c>
      <c r="I5" s="53" t="s">
        <v>35</v>
      </c>
      <c r="J5" s="84" t="s">
        <v>75</v>
      </c>
      <c r="K5" s="53" t="s">
        <v>35</v>
      </c>
      <c r="L5" s="113" t="s">
        <v>75</v>
      </c>
      <c r="M5" s="113" t="s">
        <v>75</v>
      </c>
      <c r="N5" s="81" t="s">
        <v>8</v>
      </c>
    </row>
    <row r="6" spans="1:14" ht="12.75" thickBot="1">
      <c r="A6" s="98" t="s">
        <v>53</v>
      </c>
      <c r="B6" s="85"/>
      <c r="C6" s="85"/>
      <c r="D6" s="85"/>
      <c r="E6" s="85"/>
      <c r="F6" s="241"/>
      <c r="G6" s="137"/>
      <c r="H6" s="340"/>
      <c r="I6" s="101"/>
      <c r="J6" s="137"/>
      <c r="K6" s="101"/>
      <c r="L6" s="115"/>
      <c r="M6" s="115"/>
      <c r="N6" s="102" t="s">
        <v>14</v>
      </c>
    </row>
    <row r="7" spans="1:14">
      <c r="A7" s="117" t="s">
        <v>39</v>
      </c>
      <c r="B7" s="54"/>
      <c r="C7" s="54"/>
      <c r="D7" s="54"/>
      <c r="E7" s="54"/>
      <c r="F7" s="206"/>
      <c r="G7" s="84"/>
      <c r="H7" s="339"/>
      <c r="I7" s="53"/>
      <c r="J7" s="84"/>
      <c r="K7" s="53"/>
      <c r="L7" s="113"/>
      <c r="M7" s="113"/>
      <c r="N7" s="53"/>
    </row>
    <row r="8" spans="1:14">
      <c r="A8" s="43">
        <v>33</v>
      </c>
      <c r="B8" s="43" t="s">
        <v>307</v>
      </c>
      <c r="C8" s="43" t="s">
        <v>58</v>
      </c>
      <c r="D8" s="43" t="s">
        <v>122</v>
      </c>
      <c r="E8" s="43" t="s">
        <v>342</v>
      </c>
      <c r="F8" s="187">
        <v>15000000</v>
      </c>
      <c r="G8" s="161">
        <v>0</v>
      </c>
      <c r="H8" s="162"/>
      <c r="I8" s="166"/>
      <c r="J8" s="161">
        <v>0</v>
      </c>
      <c r="K8" s="80"/>
      <c r="L8" s="161">
        <v>0</v>
      </c>
      <c r="M8" s="161">
        <v>0</v>
      </c>
      <c r="N8" s="45">
        <v>37047</v>
      </c>
    </row>
    <row r="9" spans="1:14">
      <c r="A9" s="43">
        <v>3044</v>
      </c>
      <c r="B9" s="43" t="s">
        <v>307</v>
      </c>
      <c r="C9" s="43" t="s">
        <v>58</v>
      </c>
      <c r="D9" s="43" t="s">
        <v>270</v>
      </c>
      <c r="E9" s="43" t="s">
        <v>342</v>
      </c>
      <c r="F9" s="187">
        <v>15000000</v>
      </c>
      <c r="G9" s="187">
        <v>15000000</v>
      </c>
      <c r="H9" s="222">
        <v>37048</v>
      </c>
      <c r="I9" s="272">
        <f>SUM(H9+35)</f>
        <v>37083</v>
      </c>
      <c r="J9" s="77">
        <v>15000000</v>
      </c>
      <c r="K9" s="272">
        <f>SUM(H9+150)</f>
        <v>37198</v>
      </c>
      <c r="L9" s="161">
        <v>0</v>
      </c>
      <c r="M9" s="77">
        <v>15000000</v>
      </c>
      <c r="N9" s="45">
        <v>37173</v>
      </c>
    </row>
    <row r="10" spans="1:14">
      <c r="A10" s="43">
        <v>47</v>
      </c>
      <c r="B10" s="43" t="s">
        <v>307</v>
      </c>
      <c r="C10" s="43" t="s">
        <v>58</v>
      </c>
      <c r="D10" s="43" t="s">
        <v>271</v>
      </c>
      <c r="E10" s="43" t="s">
        <v>342</v>
      </c>
      <c r="F10" s="187">
        <v>15000000</v>
      </c>
      <c r="G10" s="161">
        <v>0</v>
      </c>
      <c r="H10" s="162"/>
      <c r="I10" s="166"/>
      <c r="J10" s="161">
        <v>0</v>
      </c>
      <c r="K10" s="80"/>
      <c r="L10" s="161">
        <v>0</v>
      </c>
      <c r="M10" s="161">
        <v>0</v>
      </c>
      <c r="N10" s="45">
        <v>37047</v>
      </c>
    </row>
    <row r="11" spans="1:14">
      <c r="A11" s="43">
        <v>50</v>
      </c>
      <c r="B11" s="43" t="s">
        <v>307</v>
      </c>
      <c r="C11" s="43" t="s">
        <v>58</v>
      </c>
      <c r="D11" s="43" t="s">
        <v>272</v>
      </c>
      <c r="E11" s="43" t="s">
        <v>342</v>
      </c>
      <c r="F11" s="187">
        <v>11200000</v>
      </c>
      <c r="G11" s="161">
        <v>0</v>
      </c>
      <c r="H11" s="162"/>
      <c r="I11" s="166"/>
      <c r="J11" s="161">
        <v>0</v>
      </c>
      <c r="K11" s="80"/>
      <c r="L11" s="161">
        <v>0</v>
      </c>
      <c r="M11" s="161">
        <v>0</v>
      </c>
      <c r="N11" s="45">
        <v>37047</v>
      </c>
    </row>
    <row r="12" spans="1:14">
      <c r="A12" s="43">
        <v>3045</v>
      </c>
      <c r="B12" s="43" t="s">
        <v>307</v>
      </c>
      <c r="C12" s="43" t="s">
        <v>58</v>
      </c>
      <c r="D12" s="43" t="s">
        <v>273</v>
      </c>
      <c r="E12" s="43" t="s">
        <v>342</v>
      </c>
      <c r="F12" s="187">
        <v>12500000</v>
      </c>
      <c r="G12" s="187">
        <v>12500000</v>
      </c>
      <c r="H12" s="222">
        <v>37048</v>
      </c>
      <c r="I12" s="272">
        <f>SUM(H12+35)</f>
        <v>37083</v>
      </c>
      <c r="J12" s="77">
        <v>12500000</v>
      </c>
      <c r="K12" s="272">
        <f>SUM(H12+150)</f>
        <v>37198</v>
      </c>
      <c r="L12" s="161">
        <v>0</v>
      </c>
      <c r="M12" s="77">
        <v>12500000</v>
      </c>
      <c r="N12" s="45">
        <v>37153</v>
      </c>
    </row>
    <row r="13" spans="1:14">
      <c r="A13" s="43">
        <v>3047</v>
      </c>
      <c r="B13" s="43" t="s">
        <v>307</v>
      </c>
      <c r="C13" s="43" t="s">
        <v>23</v>
      </c>
      <c r="D13" s="43" t="s">
        <v>215</v>
      </c>
      <c r="E13" s="43" t="s">
        <v>493</v>
      </c>
      <c r="F13" s="187">
        <v>14000000</v>
      </c>
      <c r="G13" s="187">
        <v>14000000</v>
      </c>
      <c r="H13" s="222">
        <v>37050</v>
      </c>
      <c r="I13" s="272">
        <f>SUM(H13+35)</f>
        <v>37085</v>
      </c>
      <c r="J13" s="77">
        <v>14000000</v>
      </c>
      <c r="K13" s="272">
        <f>SUM(H13+120)</f>
        <v>37170</v>
      </c>
      <c r="L13" s="161">
        <v>0</v>
      </c>
      <c r="M13" s="187">
        <v>14000000</v>
      </c>
      <c r="N13" s="45">
        <v>37170</v>
      </c>
    </row>
    <row r="14" spans="1:14">
      <c r="A14" s="43">
        <v>60</v>
      </c>
      <c r="B14" s="43" t="s">
        <v>307</v>
      </c>
      <c r="C14" s="43" t="s">
        <v>17</v>
      </c>
      <c r="D14" s="43" t="s">
        <v>216</v>
      </c>
      <c r="E14" s="43" t="s">
        <v>379</v>
      </c>
      <c r="F14" s="187">
        <v>15000000</v>
      </c>
      <c r="G14" s="161">
        <v>0</v>
      </c>
      <c r="H14" s="162"/>
      <c r="I14" s="166"/>
      <c r="J14" s="161">
        <v>0</v>
      </c>
      <c r="K14" s="80"/>
      <c r="L14" s="161">
        <v>0</v>
      </c>
      <c r="M14" s="161">
        <v>0</v>
      </c>
      <c r="N14" s="45">
        <v>37047</v>
      </c>
    </row>
    <row r="15" spans="1:14">
      <c r="A15" s="43">
        <v>3049</v>
      </c>
      <c r="B15" s="43" t="s">
        <v>368</v>
      </c>
      <c r="C15" s="43" t="s">
        <v>162</v>
      </c>
      <c r="D15" s="43" t="s">
        <v>163</v>
      </c>
      <c r="E15" s="43" t="s">
        <v>161</v>
      </c>
      <c r="F15" s="187">
        <v>15000000</v>
      </c>
      <c r="G15" s="187">
        <v>15000000</v>
      </c>
      <c r="H15" s="149">
        <v>37055</v>
      </c>
      <c r="I15" s="272">
        <f>SUM(H15+35)</f>
        <v>37090</v>
      </c>
      <c r="J15" s="161">
        <v>0</v>
      </c>
      <c r="K15" s="272">
        <f>SUM(H15+150)</f>
        <v>37205</v>
      </c>
      <c r="L15" s="161">
        <v>0</v>
      </c>
      <c r="M15" s="77">
        <v>15000000</v>
      </c>
      <c r="N15" s="45">
        <v>37098</v>
      </c>
    </row>
    <row r="16" spans="1:14">
      <c r="A16" s="43">
        <v>72</v>
      </c>
      <c r="B16" s="43" t="s">
        <v>307</v>
      </c>
      <c r="C16" s="43" t="s">
        <v>58</v>
      </c>
      <c r="D16" s="43" t="s">
        <v>274</v>
      </c>
      <c r="E16" s="43" t="s">
        <v>342</v>
      </c>
      <c r="F16" s="187">
        <v>11200000</v>
      </c>
      <c r="G16" s="161">
        <v>0</v>
      </c>
      <c r="H16" s="162"/>
      <c r="I16" s="166"/>
      <c r="J16" s="161">
        <v>0</v>
      </c>
      <c r="K16" s="80"/>
      <c r="L16" s="161">
        <v>0</v>
      </c>
      <c r="M16" s="161">
        <v>0</v>
      </c>
      <c r="N16" s="45">
        <v>37051</v>
      </c>
    </row>
    <row r="17" spans="1:14">
      <c r="A17" s="43">
        <v>73</v>
      </c>
      <c r="B17" s="43" t="s">
        <v>307</v>
      </c>
      <c r="C17" s="43" t="s">
        <v>58</v>
      </c>
      <c r="D17" s="43" t="s">
        <v>275</v>
      </c>
      <c r="E17" s="43" t="s">
        <v>342</v>
      </c>
      <c r="F17" s="187">
        <v>15000000</v>
      </c>
      <c r="G17" s="161">
        <v>0</v>
      </c>
      <c r="H17" s="162"/>
      <c r="I17" s="166"/>
      <c r="J17" s="161">
        <v>0</v>
      </c>
      <c r="K17" s="80"/>
      <c r="L17" s="161">
        <v>0</v>
      </c>
      <c r="M17" s="161">
        <v>0</v>
      </c>
      <c r="N17" s="45">
        <v>37051</v>
      </c>
    </row>
    <row r="18" spans="1:14">
      <c r="A18" s="43">
        <v>3051</v>
      </c>
      <c r="B18" s="43" t="s">
        <v>307</v>
      </c>
      <c r="C18" s="43" t="s">
        <v>58</v>
      </c>
      <c r="D18" s="43" t="s">
        <v>276</v>
      </c>
      <c r="E18" s="43" t="s">
        <v>342</v>
      </c>
      <c r="F18" s="187">
        <v>15000000</v>
      </c>
      <c r="G18" s="187">
        <v>15000000</v>
      </c>
      <c r="H18" s="149">
        <v>37056</v>
      </c>
      <c r="I18" s="272">
        <f>SUM(H18+35)</f>
        <v>37091</v>
      </c>
      <c r="J18" s="161">
        <v>0</v>
      </c>
      <c r="K18" s="272">
        <f>SUM(H18+150)</f>
        <v>37206</v>
      </c>
      <c r="L18" s="161">
        <v>0</v>
      </c>
      <c r="M18" s="77">
        <v>15000000</v>
      </c>
      <c r="N18" s="45">
        <v>37084</v>
      </c>
    </row>
    <row r="19" spans="1:14">
      <c r="A19" s="43">
        <v>89</v>
      </c>
      <c r="B19" s="43" t="s">
        <v>307</v>
      </c>
      <c r="C19" s="43" t="s">
        <v>60</v>
      </c>
      <c r="D19" s="43" t="s">
        <v>277</v>
      </c>
      <c r="E19" s="43" t="s">
        <v>342</v>
      </c>
      <c r="F19" s="187">
        <v>15000000</v>
      </c>
      <c r="G19" s="187">
        <v>0</v>
      </c>
      <c r="J19" s="161">
        <v>0</v>
      </c>
      <c r="K19" s="80"/>
      <c r="L19" s="161">
        <v>0</v>
      </c>
      <c r="M19" s="161">
        <v>0</v>
      </c>
      <c r="N19" s="45">
        <v>37055</v>
      </c>
    </row>
    <row r="20" spans="1:14">
      <c r="A20" s="43">
        <v>96</v>
      </c>
      <c r="B20" s="43" t="s">
        <v>368</v>
      </c>
      <c r="C20" s="43" t="s">
        <v>23</v>
      </c>
      <c r="D20" s="43" t="s">
        <v>217</v>
      </c>
      <c r="E20" s="43" t="s">
        <v>495</v>
      </c>
      <c r="F20" s="187">
        <v>15000000</v>
      </c>
      <c r="G20" s="187">
        <v>0</v>
      </c>
      <c r="J20" s="161">
        <v>0</v>
      </c>
      <c r="K20" s="80"/>
      <c r="L20" s="161">
        <v>0</v>
      </c>
      <c r="M20" s="161">
        <v>0</v>
      </c>
      <c r="N20" s="45">
        <v>37056</v>
      </c>
    </row>
    <row r="21" spans="1:14">
      <c r="A21" s="43">
        <v>3053</v>
      </c>
      <c r="B21" s="43" t="s">
        <v>307</v>
      </c>
      <c r="C21" s="43" t="s">
        <v>58</v>
      </c>
      <c r="D21" s="43" t="s">
        <v>278</v>
      </c>
      <c r="E21" s="43" t="s">
        <v>342</v>
      </c>
      <c r="F21" s="187">
        <v>14260000</v>
      </c>
      <c r="G21" s="187">
        <v>14260000</v>
      </c>
      <c r="H21" s="222">
        <v>37063</v>
      </c>
      <c r="I21" s="272">
        <f>SUM(H21+35)</f>
        <v>37098</v>
      </c>
      <c r="J21" s="161">
        <v>0</v>
      </c>
      <c r="K21" s="272">
        <f>SUM(H21+150)</f>
        <v>37213</v>
      </c>
      <c r="L21" s="161">
        <v>0</v>
      </c>
      <c r="M21" s="187">
        <v>14260000</v>
      </c>
      <c r="N21" s="45">
        <v>37090</v>
      </c>
    </row>
    <row r="22" spans="1:14">
      <c r="A22" s="43">
        <v>102</v>
      </c>
      <c r="B22" s="43" t="s">
        <v>307</v>
      </c>
      <c r="C22" s="43" t="s">
        <v>58</v>
      </c>
      <c r="D22" s="43" t="s">
        <v>279</v>
      </c>
      <c r="E22" s="43" t="s">
        <v>342</v>
      </c>
      <c r="F22" s="187">
        <v>15000000</v>
      </c>
      <c r="G22" s="187">
        <v>0</v>
      </c>
      <c r="J22" s="161">
        <v>0</v>
      </c>
      <c r="K22" s="80"/>
      <c r="L22" s="161">
        <v>0</v>
      </c>
      <c r="M22" s="161">
        <v>0</v>
      </c>
      <c r="N22" s="45">
        <v>37058</v>
      </c>
    </row>
    <row r="23" spans="1:14">
      <c r="A23" s="43">
        <v>110</v>
      </c>
      <c r="B23" s="43" t="s">
        <v>307</v>
      </c>
      <c r="C23" s="43" t="s">
        <v>58</v>
      </c>
      <c r="D23" s="43" t="s">
        <v>280</v>
      </c>
      <c r="E23" s="43" t="s">
        <v>342</v>
      </c>
      <c r="F23" s="187">
        <v>8400000</v>
      </c>
      <c r="G23" s="187">
        <v>0</v>
      </c>
      <c r="J23" s="161">
        <v>0</v>
      </c>
      <c r="K23" s="80"/>
      <c r="L23" s="161">
        <v>0</v>
      </c>
      <c r="M23" s="161">
        <v>0</v>
      </c>
      <c r="N23" s="45">
        <v>37061</v>
      </c>
    </row>
    <row r="24" spans="1:14">
      <c r="A24" s="43">
        <v>116</v>
      </c>
      <c r="B24" s="43" t="s">
        <v>307</v>
      </c>
      <c r="C24" s="43" t="s">
        <v>60</v>
      </c>
      <c r="D24" s="43" t="s">
        <v>281</v>
      </c>
      <c r="E24" s="43" t="s">
        <v>342</v>
      </c>
      <c r="F24" s="187">
        <v>15000000</v>
      </c>
      <c r="G24" s="187">
        <v>0</v>
      </c>
      <c r="J24" s="161">
        <v>0</v>
      </c>
      <c r="K24" s="80"/>
      <c r="L24" s="161">
        <v>0</v>
      </c>
      <c r="M24" s="161">
        <v>0</v>
      </c>
      <c r="N24" s="45">
        <v>37061</v>
      </c>
    </row>
    <row r="25" spans="1:14">
      <c r="A25" s="43">
        <v>3054</v>
      </c>
      <c r="B25" s="43" t="s">
        <v>395</v>
      </c>
      <c r="C25" s="43" t="s">
        <v>162</v>
      </c>
      <c r="D25" s="43" t="s">
        <v>164</v>
      </c>
      <c r="E25" s="43" t="s">
        <v>161</v>
      </c>
      <c r="F25" s="187">
        <v>15000000</v>
      </c>
      <c r="G25" s="187">
        <v>15000000</v>
      </c>
      <c r="H25" s="222">
        <v>37064</v>
      </c>
      <c r="I25" s="272">
        <f>SUM(H25+35)</f>
        <v>37099</v>
      </c>
      <c r="J25" s="77">
        <v>15000000</v>
      </c>
      <c r="K25" s="272">
        <f>SUM(H25+150)</f>
        <v>37214</v>
      </c>
      <c r="L25" s="161">
        <v>10800000</v>
      </c>
      <c r="M25" s="161">
        <f>SUM(J25-L25)</f>
        <v>4200000</v>
      </c>
      <c r="N25" s="45">
        <v>37223</v>
      </c>
    </row>
    <row r="26" spans="1:14" s="82" customFormat="1">
      <c r="A26" s="43">
        <v>123</v>
      </c>
      <c r="B26" s="43" t="s">
        <v>307</v>
      </c>
      <c r="C26" s="43" t="s">
        <v>58</v>
      </c>
      <c r="D26" s="43" t="s">
        <v>282</v>
      </c>
      <c r="E26" s="43" t="s">
        <v>342</v>
      </c>
      <c r="F26" s="187">
        <v>6000000</v>
      </c>
      <c r="G26" s="187">
        <v>0</v>
      </c>
      <c r="H26" s="64"/>
      <c r="I26" s="43"/>
      <c r="J26" s="161">
        <v>0</v>
      </c>
      <c r="K26" s="80"/>
      <c r="L26" s="161">
        <v>0</v>
      </c>
      <c r="M26" s="161">
        <v>0</v>
      </c>
      <c r="N26" s="45">
        <v>37064</v>
      </c>
    </row>
    <row r="27" spans="1:14" s="82" customFormat="1">
      <c r="A27" s="43">
        <v>130</v>
      </c>
      <c r="B27" s="43" t="s">
        <v>307</v>
      </c>
      <c r="C27" s="43" t="s">
        <v>58</v>
      </c>
      <c r="D27" s="43" t="s">
        <v>283</v>
      </c>
      <c r="E27" s="43" t="s">
        <v>342</v>
      </c>
      <c r="F27" s="187">
        <v>8800000</v>
      </c>
      <c r="G27" s="187">
        <v>0</v>
      </c>
      <c r="H27" s="64"/>
      <c r="I27" s="43"/>
      <c r="J27" s="161">
        <v>0</v>
      </c>
      <c r="K27" s="80"/>
      <c r="L27" s="161">
        <v>0</v>
      </c>
      <c r="M27" s="161">
        <v>0</v>
      </c>
      <c r="N27" s="45">
        <v>37065</v>
      </c>
    </row>
    <row r="28" spans="1:14" s="82" customFormat="1">
      <c r="A28" s="43">
        <v>131</v>
      </c>
      <c r="B28" s="43" t="s">
        <v>307</v>
      </c>
      <c r="C28" s="43" t="s">
        <v>58</v>
      </c>
      <c r="D28" s="43" t="s">
        <v>123</v>
      </c>
      <c r="E28" s="43" t="s">
        <v>342</v>
      </c>
      <c r="F28" s="187">
        <v>15000000</v>
      </c>
      <c r="G28" s="187">
        <v>0</v>
      </c>
      <c r="H28" s="64"/>
      <c r="I28" s="43"/>
      <c r="J28" s="161">
        <v>0</v>
      </c>
      <c r="K28" s="80"/>
      <c r="L28" s="161">
        <v>0</v>
      </c>
      <c r="M28" s="161">
        <v>0</v>
      </c>
      <c r="N28" s="45">
        <v>37065</v>
      </c>
    </row>
    <row r="29" spans="1:14" s="1" customFormat="1">
      <c r="A29" s="43">
        <v>136</v>
      </c>
      <c r="B29" s="43" t="s">
        <v>307</v>
      </c>
      <c r="C29" s="43" t="s">
        <v>58</v>
      </c>
      <c r="D29" s="43" t="s">
        <v>284</v>
      </c>
      <c r="E29" s="43" t="s">
        <v>342</v>
      </c>
      <c r="F29" s="187">
        <v>15000000</v>
      </c>
      <c r="G29" s="187">
        <v>0</v>
      </c>
      <c r="H29" s="64"/>
      <c r="I29" s="43"/>
      <c r="J29" s="161">
        <v>0</v>
      </c>
      <c r="K29" s="80"/>
      <c r="L29" s="161">
        <v>0</v>
      </c>
      <c r="M29" s="161">
        <v>0</v>
      </c>
      <c r="N29" s="45">
        <v>37071</v>
      </c>
    </row>
    <row r="30" spans="1:14" s="1" customFormat="1">
      <c r="A30" s="43">
        <v>137</v>
      </c>
      <c r="B30" s="43" t="s">
        <v>307</v>
      </c>
      <c r="C30" s="43" t="s">
        <v>58</v>
      </c>
      <c r="D30" s="43" t="s">
        <v>285</v>
      </c>
      <c r="E30" s="43" t="s">
        <v>342</v>
      </c>
      <c r="F30" s="187">
        <v>15000000</v>
      </c>
      <c r="G30" s="187">
        <v>0</v>
      </c>
      <c r="H30" s="64"/>
      <c r="I30" s="43"/>
      <c r="J30" s="161">
        <v>0</v>
      </c>
      <c r="K30" s="80"/>
      <c r="L30" s="161">
        <v>0</v>
      </c>
      <c r="M30" s="161">
        <v>0</v>
      </c>
      <c r="N30" s="45">
        <v>37071</v>
      </c>
    </row>
    <row r="31" spans="1:14">
      <c r="A31" s="117" t="s">
        <v>2</v>
      </c>
      <c r="B31" s="46"/>
      <c r="C31" s="46"/>
      <c r="D31" s="46"/>
      <c r="E31" s="46"/>
      <c r="F31" s="185"/>
      <c r="G31" s="197"/>
    </row>
    <row r="32" spans="1:14" s="82" customFormat="1">
      <c r="A32" s="43">
        <v>15</v>
      </c>
      <c r="B32" s="43" t="s">
        <v>307</v>
      </c>
      <c r="C32" s="43" t="s">
        <v>23</v>
      </c>
      <c r="D32" s="43" t="s">
        <v>147</v>
      </c>
      <c r="E32" s="43" t="s">
        <v>492</v>
      </c>
      <c r="F32" s="187">
        <v>9500000</v>
      </c>
      <c r="G32" s="187">
        <v>0</v>
      </c>
      <c r="H32" s="64"/>
      <c r="I32" s="43"/>
      <c r="J32" s="161">
        <v>0</v>
      </c>
      <c r="K32" s="80"/>
      <c r="L32" s="161">
        <v>0</v>
      </c>
      <c r="M32" s="161">
        <v>0</v>
      </c>
      <c r="N32" s="45">
        <v>37071</v>
      </c>
    </row>
    <row r="33" spans="1:14" s="82" customFormat="1">
      <c r="A33" s="43">
        <v>16</v>
      </c>
      <c r="B33" s="43" t="s">
        <v>307</v>
      </c>
      <c r="C33" s="43" t="s">
        <v>23</v>
      </c>
      <c r="D33" s="43" t="s">
        <v>218</v>
      </c>
      <c r="E33" s="43" t="s">
        <v>493</v>
      </c>
      <c r="F33" s="187">
        <v>12500000</v>
      </c>
      <c r="G33" s="187">
        <v>0</v>
      </c>
      <c r="H33" s="64"/>
      <c r="I33" s="43"/>
      <c r="J33" s="161">
        <v>0</v>
      </c>
      <c r="K33" s="80"/>
      <c r="L33" s="161">
        <v>0</v>
      </c>
      <c r="M33" s="161">
        <v>0</v>
      </c>
      <c r="N33" s="45">
        <v>37077</v>
      </c>
    </row>
    <row r="34" spans="1:14" s="82" customFormat="1">
      <c r="A34" s="43">
        <v>23</v>
      </c>
      <c r="B34" s="43" t="s">
        <v>307</v>
      </c>
      <c r="C34" s="43" t="s">
        <v>70</v>
      </c>
      <c r="D34" s="43" t="s">
        <v>219</v>
      </c>
      <c r="E34" s="43" t="s">
        <v>379</v>
      </c>
      <c r="F34" s="187">
        <v>15000000</v>
      </c>
      <c r="G34" s="187">
        <v>0</v>
      </c>
      <c r="H34" s="64"/>
      <c r="I34" s="43"/>
      <c r="J34" s="161">
        <v>0</v>
      </c>
      <c r="K34" s="80"/>
      <c r="L34" s="161">
        <v>0</v>
      </c>
      <c r="M34" s="161">
        <v>0</v>
      </c>
      <c r="N34" s="45">
        <v>37077</v>
      </c>
    </row>
    <row r="35" spans="1:14" s="62" customFormat="1">
      <c r="A35" s="43">
        <v>78</v>
      </c>
      <c r="B35" s="43" t="s">
        <v>368</v>
      </c>
      <c r="C35" s="43" t="s">
        <v>17</v>
      </c>
      <c r="D35" s="43" t="s">
        <v>220</v>
      </c>
      <c r="E35" s="43" t="s">
        <v>379</v>
      </c>
      <c r="F35" s="187">
        <v>15000000</v>
      </c>
      <c r="G35" s="187">
        <v>0</v>
      </c>
      <c r="H35" s="64"/>
      <c r="I35" s="43"/>
      <c r="J35" s="161">
        <v>0</v>
      </c>
      <c r="K35" s="80"/>
      <c r="L35" s="161">
        <v>0</v>
      </c>
      <c r="M35" s="161">
        <v>0</v>
      </c>
      <c r="N35" s="45">
        <v>37076</v>
      </c>
    </row>
    <row r="36" spans="1:14" s="62" customFormat="1">
      <c r="A36" s="43">
        <v>3055</v>
      </c>
      <c r="B36" s="43" t="s">
        <v>307</v>
      </c>
      <c r="C36" s="43" t="s">
        <v>70</v>
      </c>
      <c r="D36" s="43" t="s">
        <v>221</v>
      </c>
      <c r="E36" s="43" t="s">
        <v>379</v>
      </c>
      <c r="F36" s="187">
        <v>15000000</v>
      </c>
      <c r="G36" s="187">
        <v>15000000</v>
      </c>
      <c r="H36" s="222">
        <v>37079</v>
      </c>
      <c r="I36" s="272">
        <f>SUM(H36+35)</f>
        <v>37114</v>
      </c>
      <c r="J36" s="77">
        <v>15000000</v>
      </c>
      <c r="K36" s="272">
        <f>SUM(H36+150)</f>
        <v>37229</v>
      </c>
      <c r="L36" s="161">
        <v>0</v>
      </c>
      <c r="M36" s="77">
        <v>15000000</v>
      </c>
      <c r="N36" s="60">
        <v>37191</v>
      </c>
    </row>
    <row r="37" spans="1:14" s="86" customFormat="1">
      <c r="A37" s="43">
        <v>3056</v>
      </c>
      <c r="B37" s="43" t="s">
        <v>307</v>
      </c>
      <c r="C37" s="43" t="s">
        <v>1</v>
      </c>
      <c r="D37" s="43" t="s">
        <v>262</v>
      </c>
      <c r="E37" s="43" t="s">
        <v>494</v>
      </c>
      <c r="F37" s="187">
        <v>15000000</v>
      </c>
      <c r="G37" s="187">
        <v>15000000</v>
      </c>
      <c r="H37" s="149">
        <v>37079</v>
      </c>
      <c r="I37" s="272">
        <f>SUM(H37+35)</f>
        <v>37114</v>
      </c>
      <c r="J37" s="77">
        <v>15000000</v>
      </c>
      <c r="K37" s="272">
        <f>SUM(H37+150)</f>
        <v>37229</v>
      </c>
      <c r="L37" s="161">
        <v>0</v>
      </c>
      <c r="M37" s="77">
        <v>15000000</v>
      </c>
      <c r="N37" s="88">
        <v>37229</v>
      </c>
    </row>
    <row r="38" spans="1:14" s="62" customFormat="1">
      <c r="A38" s="43">
        <v>142</v>
      </c>
      <c r="B38" s="43" t="s">
        <v>307</v>
      </c>
      <c r="C38" s="43" t="s">
        <v>70</v>
      </c>
      <c r="D38" s="43" t="s">
        <v>222</v>
      </c>
      <c r="E38" s="43" t="s">
        <v>379</v>
      </c>
      <c r="F38" s="187">
        <v>15000000</v>
      </c>
      <c r="G38" s="187">
        <v>0</v>
      </c>
      <c r="H38" s="64"/>
      <c r="I38" s="43"/>
      <c r="J38" s="161">
        <v>0</v>
      </c>
      <c r="K38" s="80"/>
      <c r="L38" s="161">
        <v>0</v>
      </c>
      <c r="M38" s="161">
        <v>0</v>
      </c>
      <c r="N38" s="45">
        <v>37077</v>
      </c>
    </row>
    <row r="39" spans="1:14" s="62" customFormat="1">
      <c r="A39" s="43">
        <v>143</v>
      </c>
      <c r="B39" s="43" t="s">
        <v>307</v>
      </c>
      <c r="C39" s="43" t="s">
        <v>77</v>
      </c>
      <c r="D39" s="43" t="s">
        <v>263</v>
      </c>
      <c r="E39" s="43" t="s">
        <v>61</v>
      </c>
      <c r="F39" s="187">
        <v>15000000</v>
      </c>
      <c r="G39" s="187">
        <v>0</v>
      </c>
      <c r="H39" s="64"/>
      <c r="I39" s="43"/>
      <c r="J39" s="161">
        <v>0</v>
      </c>
      <c r="K39" s="80"/>
      <c r="L39" s="161">
        <v>0</v>
      </c>
      <c r="M39" s="161">
        <v>0</v>
      </c>
      <c r="N39" s="45">
        <v>37076</v>
      </c>
    </row>
    <row r="40" spans="1:14" s="62" customFormat="1">
      <c r="A40" s="303" t="s">
        <v>491</v>
      </c>
      <c r="B40" s="43"/>
      <c r="C40" s="43"/>
      <c r="D40" s="43"/>
      <c r="E40" s="43"/>
      <c r="F40" s="187" t="s">
        <v>12</v>
      </c>
      <c r="G40" s="197"/>
      <c r="H40" s="64"/>
      <c r="J40" s="92"/>
      <c r="L40" s="139"/>
      <c r="M40" s="61"/>
    </row>
    <row r="41" spans="1:14">
      <c r="A41" s="43">
        <v>3058</v>
      </c>
      <c r="B41" s="43" t="s">
        <v>307</v>
      </c>
      <c r="C41" s="43" t="s">
        <v>58</v>
      </c>
      <c r="D41" s="43" t="s">
        <v>483</v>
      </c>
      <c r="E41" s="43" t="s">
        <v>342</v>
      </c>
      <c r="F41" s="187">
        <v>15000000</v>
      </c>
      <c r="G41" s="187">
        <v>15000000</v>
      </c>
      <c r="H41" s="222">
        <v>37084</v>
      </c>
      <c r="I41" s="272">
        <f>SUM(H41+35)</f>
        <v>37119</v>
      </c>
      <c r="J41" s="77">
        <v>15000000</v>
      </c>
      <c r="K41" s="272">
        <f>SUM(H41+150)</f>
        <v>37234</v>
      </c>
      <c r="L41" s="161">
        <v>0</v>
      </c>
      <c r="M41" s="161">
        <v>15000000</v>
      </c>
      <c r="N41" s="45">
        <v>37217</v>
      </c>
    </row>
    <row r="42" spans="1:14">
      <c r="A42" s="43" t="s">
        <v>485</v>
      </c>
      <c r="B42" s="43" t="s">
        <v>307</v>
      </c>
      <c r="C42" s="43" t="s">
        <v>58</v>
      </c>
      <c r="D42" s="43" t="s">
        <v>496</v>
      </c>
      <c r="E42" s="43" t="s">
        <v>342</v>
      </c>
      <c r="F42" s="187">
        <v>15000000</v>
      </c>
      <c r="G42" s="187">
        <v>0</v>
      </c>
      <c r="J42" s="161">
        <v>0</v>
      </c>
      <c r="K42" s="80"/>
      <c r="L42" s="161">
        <v>0</v>
      </c>
      <c r="M42" s="161">
        <v>0</v>
      </c>
      <c r="N42" s="45">
        <v>37082</v>
      </c>
    </row>
    <row r="43" spans="1:14">
      <c r="A43" s="43" t="s">
        <v>486</v>
      </c>
      <c r="B43" s="43" t="s">
        <v>307</v>
      </c>
      <c r="C43" s="43" t="s">
        <v>58</v>
      </c>
      <c r="D43" s="43" t="s">
        <v>497</v>
      </c>
      <c r="E43" s="43" t="s">
        <v>342</v>
      </c>
      <c r="F43" s="187">
        <v>15000000</v>
      </c>
      <c r="G43" s="187">
        <v>0</v>
      </c>
      <c r="J43" s="161">
        <v>0</v>
      </c>
      <c r="K43" s="80"/>
      <c r="L43" s="161">
        <v>0</v>
      </c>
      <c r="M43" s="161">
        <v>0</v>
      </c>
      <c r="N43" s="45">
        <v>37086</v>
      </c>
    </row>
    <row r="44" spans="1:14">
      <c r="A44" s="43" t="s">
        <v>487</v>
      </c>
      <c r="B44" s="43" t="s">
        <v>307</v>
      </c>
      <c r="C44" s="43" t="s">
        <v>58</v>
      </c>
      <c r="D44" s="43" t="s">
        <v>498</v>
      </c>
      <c r="E44" s="43" t="s">
        <v>342</v>
      </c>
      <c r="F44" s="187">
        <v>15000000</v>
      </c>
      <c r="G44" s="187">
        <v>0</v>
      </c>
      <c r="J44" s="161">
        <v>0</v>
      </c>
      <c r="K44" s="80"/>
      <c r="L44" s="161">
        <v>0</v>
      </c>
      <c r="M44" s="161">
        <v>0</v>
      </c>
      <c r="N44" s="45">
        <v>37086</v>
      </c>
    </row>
    <row r="45" spans="1:14">
      <c r="A45" s="43">
        <v>3061</v>
      </c>
      <c r="B45" s="108" t="s">
        <v>395</v>
      </c>
      <c r="C45" s="43" t="s">
        <v>58</v>
      </c>
      <c r="D45" s="43" t="s">
        <v>499</v>
      </c>
      <c r="E45" s="43" t="s">
        <v>342</v>
      </c>
      <c r="F45" s="187">
        <v>15000000</v>
      </c>
      <c r="G45" s="187">
        <v>15000000</v>
      </c>
      <c r="H45" s="222">
        <v>37092</v>
      </c>
      <c r="I45" s="272">
        <f>SUM(H45+35)</f>
        <v>37127</v>
      </c>
      <c r="J45" s="77">
        <v>15000000</v>
      </c>
      <c r="K45" s="272">
        <f>SUM(H45+150)</f>
        <v>37242</v>
      </c>
      <c r="L45" s="161">
        <v>12900000</v>
      </c>
      <c r="M45" s="161">
        <f>SUM(J45-L45)</f>
        <v>2100000</v>
      </c>
      <c r="N45" s="45">
        <v>37243</v>
      </c>
    </row>
    <row r="46" spans="1:14">
      <c r="A46" s="43">
        <v>3064</v>
      </c>
      <c r="B46" s="108" t="s">
        <v>395</v>
      </c>
      <c r="C46" s="43" t="s">
        <v>488</v>
      </c>
      <c r="D46" s="43" t="s">
        <v>489</v>
      </c>
      <c r="E46" s="43" t="s">
        <v>490</v>
      </c>
      <c r="F46" s="184">
        <v>10000000</v>
      </c>
      <c r="G46" s="184">
        <v>10000000</v>
      </c>
      <c r="H46" s="222">
        <v>37092</v>
      </c>
      <c r="I46" s="272">
        <f>SUM(H46+35)</f>
        <v>37127</v>
      </c>
      <c r="J46" s="77">
        <v>10000000</v>
      </c>
      <c r="K46" s="272">
        <f>SUM(H46+150)</f>
        <v>37242</v>
      </c>
      <c r="L46" s="161">
        <v>9000000</v>
      </c>
      <c r="M46" s="161">
        <f>SUM(J46-L46)</f>
        <v>1000000</v>
      </c>
      <c r="N46" s="45">
        <v>37245</v>
      </c>
    </row>
    <row r="47" spans="1:14">
      <c r="A47" s="43">
        <v>3062</v>
      </c>
      <c r="B47" s="108" t="s">
        <v>307</v>
      </c>
      <c r="C47" s="43" t="s">
        <v>159</v>
      </c>
      <c r="D47" s="43" t="s">
        <v>160</v>
      </c>
      <c r="E47" s="43" t="s">
        <v>161</v>
      </c>
      <c r="F47" s="184">
        <v>7855000</v>
      </c>
      <c r="G47" s="184">
        <v>7855000</v>
      </c>
      <c r="H47" s="222">
        <v>37092</v>
      </c>
      <c r="I47" s="272">
        <f>SUM(H47+35)</f>
        <v>37127</v>
      </c>
      <c r="J47" s="77">
        <v>0</v>
      </c>
      <c r="K47" s="272">
        <f>SUM(H47+150)</f>
        <v>37242</v>
      </c>
      <c r="L47" s="161">
        <v>0</v>
      </c>
      <c r="M47" s="184">
        <v>7855000</v>
      </c>
      <c r="N47" s="45">
        <v>37132</v>
      </c>
    </row>
    <row r="48" spans="1:14">
      <c r="A48" s="43">
        <v>3063</v>
      </c>
      <c r="B48" s="108" t="s">
        <v>307</v>
      </c>
      <c r="C48" s="43" t="s">
        <v>77</v>
      </c>
      <c r="D48" s="43" t="s">
        <v>226</v>
      </c>
      <c r="E48" s="43" t="s">
        <v>111</v>
      </c>
      <c r="F48" s="187">
        <v>15000000</v>
      </c>
      <c r="G48" s="187">
        <v>15000000</v>
      </c>
      <c r="H48" s="222">
        <v>37092</v>
      </c>
      <c r="I48" s="272">
        <f>SUM(H48+35)</f>
        <v>37127</v>
      </c>
      <c r="J48" s="77">
        <v>15000000</v>
      </c>
      <c r="K48" s="272">
        <f>SUM(H48+150)</f>
        <v>37242</v>
      </c>
      <c r="L48" s="161">
        <v>0</v>
      </c>
      <c r="M48" s="77">
        <v>15000000</v>
      </c>
      <c r="N48" s="45">
        <v>37212</v>
      </c>
    </row>
    <row r="49" spans="1:14">
      <c r="A49" s="43">
        <v>3067</v>
      </c>
      <c r="B49" s="108" t="s">
        <v>307</v>
      </c>
      <c r="C49" s="43" t="s">
        <v>24</v>
      </c>
      <c r="D49" s="43" t="s">
        <v>519</v>
      </c>
      <c r="E49" s="43" t="s">
        <v>337</v>
      </c>
      <c r="F49" s="187">
        <v>9500000</v>
      </c>
      <c r="G49" s="184">
        <v>9500000</v>
      </c>
      <c r="H49" s="222">
        <v>37107</v>
      </c>
      <c r="I49" s="272">
        <f>SUM(H49+35)</f>
        <v>37142</v>
      </c>
      <c r="J49" s="184">
        <v>9500000</v>
      </c>
      <c r="K49" s="272">
        <f>SUM(H49+150)</f>
        <v>37257</v>
      </c>
      <c r="L49" s="161">
        <v>0</v>
      </c>
      <c r="M49" s="184">
        <v>9500000</v>
      </c>
      <c r="N49" s="45">
        <v>37243</v>
      </c>
    </row>
    <row r="50" spans="1:14">
      <c r="B50" s="64"/>
    </row>
    <row r="51" spans="1:14">
      <c r="D51" s="47" t="s">
        <v>36</v>
      </c>
      <c r="E51" s="47"/>
      <c r="F51" s="207">
        <f>SUM(F10:F50)</f>
        <v>510715000</v>
      </c>
      <c r="G51" s="207">
        <f>SUM(G8:G50)</f>
        <v>203115000</v>
      </c>
      <c r="H51" s="341"/>
      <c r="I51" s="170"/>
      <c r="J51" s="207">
        <f>SUM(J8:J50)</f>
        <v>151000000</v>
      </c>
      <c r="K51" s="60"/>
      <c r="L51" s="207">
        <f>SUM(L10:L50)</f>
        <v>32700000</v>
      </c>
      <c r="M51" s="207">
        <f>SUM(M8:M50)</f>
        <v>170415000</v>
      </c>
    </row>
    <row r="52" spans="1:14">
      <c r="D52" s="47"/>
      <c r="E52" s="47"/>
      <c r="F52" s="163"/>
      <c r="G52" s="403"/>
      <c r="H52" s="403"/>
      <c r="I52" s="62"/>
      <c r="J52" s="92"/>
      <c r="K52" s="62"/>
      <c r="L52" s="61"/>
      <c r="M52" s="61"/>
    </row>
    <row r="53" spans="1:14">
      <c r="D53" s="47" t="s">
        <v>76</v>
      </c>
      <c r="E53" s="47"/>
      <c r="F53" s="163">
        <f>SUM(F51-G51)</f>
        <v>307600000</v>
      </c>
      <c r="G53" s="92"/>
      <c r="I53" s="62"/>
      <c r="J53" s="92"/>
      <c r="K53" s="62"/>
      <c r="L53" s="61"/>
      <c r="M53" s="61"/>
    </row>
    <row r="54" spans="1:14">
      <c r="D54" s="47"/>
      <c r="E54" s="47"/>
      <c r="F54" s="159"/>
      <c r="G54" s="92"/>
      <c r="I54" s="62"/>
      <c r="J54" s="92"/>
      <c r="K54" s="62"/>
      <c r="L54" s="61"/>
      <c r="M54" s="61"/>
    </row>
    <row r="55" spans="1:14">
      <c r="D55" s="47" t="s">
        <v>16</v>
      </c>
      <c r="E55" s="47"/>
      <c r="F55" s="167">
        <f>+C1-G51+M51</f>
        <v>207597071</v>
      </c>
      <c r="G55" s="92"/>
      <c r="I55" s="62"/>
      <c r="J55" s="92"/>
      <c r="K55" s="60"/>
      <c r="L55" s="61"/>
      <c r="M55" s="61"/>
    </row>
    <row r="56" spans="1:14">
      <c r="D56" s="62"/>
      <c r="E56" s="62"/>
      <c r="F56" s="159"/>
      <c r="G56" s="92"/>
      <c r="I56" s="62"/>
      <c r="J56" s="92"/>
      <c r="K56" s="62"/>
      <c r="L56" s="61"/>
      <c r="M56" s="61"/>
    </row>
    <row r="57" spans="1:14" s="62" customFormat="1"/>
    <row r="58" spans="1:14" s="62" customFormat="1"/>
    <row r="59" spans="1:14" s="62" customFormat="1"/>
  </sheetData>
  <mergeCells count="1">
    <mergeCell ref="G52:H52"/>
  </mergeCells>
  <phoneticPr fontId="6" type="noConversion"/>
  <pageMargins left="0.75" right="0.75" top="1" bottom="1" header="0.5" footer="0.5"/>
  <pageSetup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A8" sqref="A8:IV8"/>
    </sheetView>
  </sheetViews>
  <sheetFormatPr defaultRowHeight="12"/>
  <cols>
    <col min="3" max="3" width="12.85546875" bestFit="1" customWidth="1"/>
    <col min="6" max="6" width="12.42578125" bestFit="1" customWidth="1"/>
    <col min="7" max="7" width="11.42578125" bestFit="1" customWidth="1"/>
    <col min="9" max="9" width="10.7109375" bestFit="1" customWidth="1"/>
    <col min="10" max="10" width="11.140625" bestFit="1" customWidth="1"/>
    <col min="11" max="11" width="10.7109375" bestFit="1" customWidth="1"/>
    <col min="13" max="13" width="16.140625" bestFit="1" customWidth="1"/>
  </cols>
  <sheetData>
    <row r="1" spans="1:14">
      <c r="A1" s="319" t="s">
        <v>511</v>
      </c>
    </row>
    <row r="2" spans="1:14">
      <c r="A2" s="75"/>
      <c r="B2" s="54"/>
      <c r="C2" s="76"/>
      <c r="D2" s="76"/>
      <c r="E2" s="76"/>
      <c r="F2" s="77"/>
      <c r="G2" s="77"/>
      <c r="H2" s="80"/>
      <c r="I2" s="80"/>
      <c r="J2" s="77"/>
      <c r="K2" s="80"/>
      <c r="L2" s="77"/>
      <c r="M2" s="77"/>
      <c r="N2" s="81"/>
    </row>
    <row r="3" spans="1:14">
      <c r="A3" s="83" t="s">
        <v>54</v>
      </c>
      <c r="B3" s="54" t="s">
        <v>66</v>
      </c>
      <c r="C3" s="54" t="s">
        <v>52</v>
      </c>
      <c r="D3" s="76" t="s">
        <v>83</v>
      </c>
      <c r="E3" s="76" t="s">
        <v>79</v>
      </c>
      <c r="F3" s="84" t="s">
        <v>42</v>
      </c>
      <c r="G3" s="84" t="s">
        <v>13</v>
      </c>
      <c r="H3" s="53" t="s">
        <v>26</v>
      </c>
      <c r="I3" s="53" t="s">
        <v>56</v>
      </c>
      <c r="J3" s="84" t="s">
        <v>7</v>
      </c>
      <c r="K3" s="53"/>
      <c r="L3" s="84" t="s">
        <v>47</v>
      </c>
      <c r="M3" s="47" t="s">
        <v>408</v>
      </c>
      <c r="N3" s="81" t="s">
        <v>476</v>
      </c>
    </row>
    <row r="4" spans="1:14">
      <c r="A4" s="83" t="s">
        <v>82</v>
      </c>
      <c r="B4" s="82"/>
      <c r="C4" s="54"/>
      <c r="D4" s="76"/>
      <c r="E4" s="76"/>
      <c r="F4" s="84" t="s">
        <v>75</v>
      </c>
      <c r="G4" s="84" t="s">
        <v>75</v>
      </c>
      <c r="H4" s="53" t="s">
        <v>14</v>
      </c>
      <c r="I4" s="53" t="s">
        <v>35</v>
      </c>
      <c r="J4" s="84" t="s">
        <v>75</v>
      </c>
      <c r="K4" s="53" t="s">
        <v>35</v>
      </c>
      <c r="L4" s="84" t="s">
        <v>75</v>
      </c>
      <c r="M4" s="47" t="s">
        <v>409</v>
      </c>
      <c r="N4" s="81" t="s">
        <v>8</v>
      </c>
    </row>
    <row r="5" spans="1:14" ht="12.75" thickBot="1">
      <c r="A5" s="98" t="s">
        <v>32</v>
      </c>
      <c r="B5" s="99"/>
      <c r="C5" s="85"/>
      <c r="D5" s="100"/>
      <c r="E5" s="100"/>
      <c r="F5" s="137"/>
      <c r="G5" s="137"/>
      <c r="H5" s="101"/>
      <c r="I5" s="101"/>
      <c r="J5" s="137"/>
      <c r="K5" s="101"/>
      <c r="L5" s="137"/>
      <c r="M5" s="137"/>
      <c r="N5" s="102" t="s">
        <v>14</v>
      </c>
    </row>
    <row r="6" spans="1:14">
      <c r="A6" s="46"/>
      <c r="B6" s="181" t="s">
        <v>91</v>
      </c>
      <c r="C6" s="316" t="s">
        <v>434</v>
      </c>
      <c r="D6" s="46" t="s">
        <v>441</v>
      </c>
      <c r="F6" s="181"/>
      <c r="G6" s="175">
        <v>18014290</v>
      </c>
      <c r="H6" s="46"/>
      <c r="J6" s="317"/>
      <c r="K6" s="52">
        <v>37255</v>
      </c>
      <c r="L6" s="46"/>
      <c r="M6" s="175">
        <v>18014290</v>
      </c>
    </row>
    <row r="7" spans="1:14">
      <c r="A7" s="46">
        <v>2636</v>
      </c>
      <c r="B7" s="181" t="s">
        <v>91</v>
      </c>
      <c r="C7" s="181" t="s">
        <v>92</v>
      </c>
      <c r="D7" s="46" t="s">
        <v>441</v>
      </c>
      <c r="F7" s="181"/>
      <c r="G7" s="180">
        <v>3321891</v>
      </c>
      <c r="H7" s="46"/>
      <c r="J7" s="317"/>
      <c r="K7" s="52">
        <v>37255</v>
      </c>
      <c r="L7" s="46"/>
      <c r="M7" s="180">
        <v>3321891</v>
      </c>
    </row>
    <row r="8" spans="1:14">
      <c r="A8" s="352" t="s">
        <v>637</v>
      </c>
      <c r="B8" s="86"/>
      <c r="C8" s="80" t="s">
        <v>70</v>
      </c>
      <c r="D8" s="86"/>
      <c r="E8" s="86"/>
      <c r="F8" s="161">
        <v>250000</v>
      </c>
      <c r="G8" s="187"/>
      <c r="H8" s="396">
        <v>36159</v>
      </c>
      <c r="I8" s="43"/>
      <c r="J8" s="43"/>
      <c r="K8" s="53">
        <f>SUM(H8+365*3)</f>
        <v>37254</v>
      </c>
      <c r="L8" s="187"/>
      <c r="M8" s="187">
        <v>250000</v>
      </c>
    </row>
    <row r="11" spans="1:14" s="62" customFormat="1">
      <c r="A11" s="46" t="s">
        <v>477</v>
      </c>
      <c r="B11" s="43"/>
      <c r="C11" s="43"/>
      <c r="E11" s="47"/>
      <c r="F11" s="277"/>
      <c r="G11" s="93"/>
      <c r="J11" s="92"/>
      <c r="L11" s="139"/>
      <c r="M11" s="61"/>
    </row>
    <row r="12" spans="1:14" s="47" customFormat="1">
      <c r="A12" s="322">
        <v>2631</v>
      </c>
      <c r="B12" s="322" t="s">
        <v>368</v>
      </c>
      <c r="C12" s="322" t="s">
        <v>1</v>
      </c>
      <c r="D12" s="322" t="s">
        <v>478</v>
      </c>
      <c r="E12" s="322"/>
      <c r="F12" s="51">
        <v>15000000</v>
      </c>
      <c r="G12" s="323"/>
      <c r="J12" s="48"/>
      <c r="K12" s="49">
        <v>37255</v>
      </c>
      <c r="L12" s="50"/>
      <c r="M12" s="51">
        <v>15000000</v>
      </c>
    </row>
    <row r="13" spans="1:14" ht="12.75" thickBot="1">
      <c r="M13" s="385">
        <f>SUM(M6:M12)</f>
        <v>36586181</v>
      </c>
    </row>
    <row r="14" spans="1:14" ht="12.75" thickTop="1"/>
  </sheetData>
  <phoneticPr fontId="6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G2" sqref="G2"/>
    </sheetView>
  </sheetViews>
  <sheetFormatPr defaultRowHeight="12"/>
  <cols>
    <col min="2" max="2" width="7.85546875" bestFit="1" customWidth="1"/>
    <col min="3" max="3" width="14.28515625" bestFit="1" customWidth="1"/>
    <col min="6" max="6" width="12.42578125" bestFit="1" customWidth="1"/>
    <col min="7" max="7" width="11.42578125" bestFit="1" customWidth="1"/>
    <col min="10" max="10" width="11.140625" bestFit="1" customWidth="1"/>
    <col min="12" max="12" width="9.85546875" bestFit="1" customWidth="1"/>
    <col min="13" max="13" width="13.85546875" customWidth="1"/>
    <col min="14" max="14" width="12.140625" customWidth="1"/>
  </cols>
  <sheetData>
    <row r="1" spans="1:14">
      <c r="A1" s="319" t="s">
        <v>510</v>
      </c>
      <c r="B1" s="67"/>
      <c r="C1" s="68"/>
      <c r="D1" s="68"/>
      <c r="E1" s="68"/>
      <c r="F1" s="69"/>
      <c r="G1" s="70"/>
      <c r="H1" s="71"/>
      <c r="I1" s="72"/>
      <c r="J1" s="69"/>
      <c r="K1" s="72"/>
      <c r="L1" s="69"/>
      <c r="M1" s="69"/>
      <c r="N1" s="73">
        <v>37048</v>
      </c>
    </row>
    <row r="2" spans="1:14">
      <c r="A2" s="75"/>
      <c r="B2" s="54"/>
      <c r="C2" s="76"/>
      <c r="D2" s="76"/>
      <c r="E2" s="76"/>
      <c r="F2" s="77"/>
      <c r="G2" s="77"/>
      <c r="H2" s="80"/>
      <c r="I2" s="80"/>
      <c r="J2" s="77"/>
      <c r="K2" s="80"/>
      <c r="L2" s="77"/>
      <c r="M2" s="77"/>
      <c r="N2" s="81"/>
    </row>
    <row r="3" spans="1:14">
      <c r="A3" s="83" t="s">
        <v>54</v>
      </c>
      <c r="B3" s="54" t="s">
        <v>66</v>
      </c>
      <c r="C3" s="54" t="s">
        <v>52</v>
      </c>
      <c r="D3" s="76" t="s">
        <v>83</v>
      </c>
      <c r="E3" s="76" t="s">
        <v>79</v>
      </c>
      <c r="F3" s="84" t="s">
        <v>42</v>
      </c>
      <c r="G3" s="84" t="s">
        <v>625</v>
      </c>
      <c r="H3" s="53" t="s">
        <v>26</v>
      </c>
      <c r="I3" s="53" t="s">
        <v>56</v>
      </c>
      <c r="J3" s="84" t="s">
        <v>7</v>
      </c>
      <c r="K3" s="53"/>
      <c r="L3" s="84" t="s">
        <v>625</v>
      </c>
      <c r="M3" s="47" t="s">
        <v>408</v>
      </c>
      <c r="N3" s="81" t="s">
        <v>476</v>
      </c>
    </row>
    <row r="4" spans="1:14">
      <c r="A4" s="83" t="s">
        <v>82</v>
      </c>
      <c r="B4" s="82"/>
      <c r="C4" s="54"/>
      <c r="D4" s="76"/>
      <c r="E4" s="76"/>
      <c r="F4" s="84" t="s">
        <v>75</v>
      </c>
      <c r="G4" s="84" t="s">
        <v>75</v>
      </c>
      <c r="H4" s="53" t="s">
        <v>14</v>
      </c>
      <c r="I4" s="53" t="s">
        <v>35</v>
      </c>
      <c r="J4" s="84" t="s">
        <v>75</v>
      </c>
      <c r="K4" s="53" t="s">
        <v>35</v>
      </c>
      <c r="L4" s="84" t="s">
        <v>75</v>
      </c>
      <c r="M4" s="47" t="s">
        <v>409</v>
      </c>
      <c r="N4" s="81" t="s">
        <v>8</v>
      </c>
    </row>
    <row r="5" spans="1:14" ht="12.75" thickBot="1">
      <c r="A5" s="98" t="s">
        <v>32</v>
      </c>
      <c r="B5" s="99"/>
      <c r="C5" s="85"/>
      <c r="D5" s="100"/>
      <c r="E5" s="100"/>
      <c r="F5" s="137"/>
      <c r="G5" s="137"/>
      <c r="H5" s="101"/>
      <c r="I5" s="101"/>
      <c r="J5" s="137"/>
      <c r="K5" s="101"/>
      <c r="L5" s="137"/>
      <c r="M5" s="137"/>
      <c r="N5" s="102" t="s">
        <v>14</v>
      </c>
    </row>
    <row r="7" spans="1:14" s="259" customFormat="1">
      <c r="A7" s="46" t="s">
        <v>472</v>
      </c>
      <c r="B7" s="54" t="s">
        <v>308</v>
      </c>
      <c r="C7" s="46" t="s">
        <v>401</v>
      </c>
      <c r="D7" s="46" t="s">
        <v>473</v>
      </c>
      <c r="E7" s="46"/>
      <c r="F7" s="310">
        <v>50000000</v>
      </c>
      <c r="G7" s="310">
        <v>50000000</v>
      </c>
      <c r="H7" s="52">
        <v>36524</v>
      </c>
      <c r="I7" s="52">
        <v>36559</v>
      </c>
      <c r="J7" s="46"/>
      <c r="K7" s="52">
        <v>37619</v>
      </c>
      <c r="L7" s="46"/>
      <c r="M7" s="46"/>
      <c r="N7" s="46"/>
    </row>
    <row r="8" spans="1:14" s="227" customFormat="1">
      <c r="A8" s="43" t="s">
        <v>474</v>
      </c>
      <c r="B8" s="82" t="s">
        <v>395</v>
      </c>
      <c r="C8" s="43" t="s">
        <v>398</v>
      </c>
      <c r="D8" s="43" t="s">
        <v>475</v>
      </c>
      <c r="E8" s="43"/>
      <c r="F8" s="44">
        <v>3000000</v>
      </c>
      <c r="G8" s="44">
        <v>3000000</v>
      </c>
      <c r="H8" s="45">
        <v>36524</v>
      </c>
      <c r="I8" s="45">
        <v>36559</v>
      </c>
      <c r="J8" s="43"/>
      <c r="K8" s="45">
        <v>37619</v>
      </c>
      <c r="L8" s="187">
        <v>3000000</v>
      </c>
      <c r="M8" s="187">
        <v>0</v>
      </c>
      <c r="N8" s="45">
        <v>37048</v>
      </c>
    </row>
    <row r="10" spans="1:14">
      <c r="F10" s="198">
        <f>SUM(F7:F9)</f>
        <v>53000000</v>
      </c>
      <c r="G10" s="198">
        <f>SUM(G7:G9)</f>
        <v>53000000</v>
      </c>
      <c r="H10" s="187"/>
      <c r="I10" s="187"/>
      <c r="J10" s="187"/>
      <c r="K10" s="187"/>
      <c r="L10" s="198">
        <f>SUM(L7:L9)</f>
        <v>3000000</v>
      </c>
      <c r="M10" s="198">
        <f>SUM(M7:M9)</f>
        <v>0</v>
      </c>
    </row>
    <row r="13" spans="1:14" ht="12.75" thickBot="1">
      <c r="A13" s="342" t="s">
        <v>430</v>
      </c>
      <c r="M13" s="137" t="s">
        <v>509</v>
      </c>
    </row>
    <row r="14" spans="1:14" s="62" customFormat="1">
      <c r="A14" s="46">
        <v>2788</v>
      </c>
      <c r="B14" s="47" t="s">
        <v>307</v>
      </c>
      <c r="C14" s="46" t="s">
        <v>17</v>
      </c>
      <c r="D14" s="46" t="s">
        <v>405</v>
      </c>
      <c r="E14" s="46" t="s">
        <v>119</v>
      </c>
      <c r="F14" s="185">
        <v>15000000</v>
      </c>
      <c r="G14" s="185">
        <v>15000000</v>
      </c>
      <c r="H14" s="283">
        <v>36455</v>
      </c>
      <c r="I14" s="49">
        <v>36490</v>
      </c>
      <c r="J14" s="179">
        <v>15000000</v>
      </c>
      <c r="K14" s="49">
        <v>36575</v>
      </c>
      <c r="L14" s="179">
        <v>0</v>
      </c>
      <c r="M14" s="151">
        <v>15000000</v>
      </c>
      <c r="N14" s="49">
        <v>36572</v>
      </c>
    </row>
    <row r="15" spans="1:14">
      <c r="A15" s="303"/>
      <c r="B15" s="82"/>
      <c r="C15" s="86"/>
      <c r="D15" s="86"/>
      <c r="E15" s="86"/>
      <c r="F15" s="197"/>
      <c r="G15" s="93"/>
      <c r="H15" s="64"/>
      <c r="I15" s="62"/>
      <c r="J15" s="93"/>
      <c r="K15" s="62"/>
      <c r="L15" s="61"/>
      <c r="M15" s="61"/>
      <c r="N15" s="62"/>
    </row>
    <row r="16" spans="1:14">
      <c r="A16" s="46">
        <v>2789</v>
      </c>
      <c r="B16" s="47" t="s">
        <v>368</v>
      </c>
      <c r="C16" s="46" t="s">
        <v>70</v>
      </c>
      <c r="D16" s="46" t="s">
        <v>406</v>
      </c>
      <c r="E16" s="46" t="s">
        <v>407</v>
      </c>
      <c r="F16" s="185">
        <v>15000000</v>
      </c>
      <c r="G16" s="185">
        <v>15000000</v>
      </c>
      <c r="H16" s="283">
        <v>36463</v>
      </c>
      <c r="I16" s="49">
        <v>36498</v>
      </c>
      <c r="J16" s="179">
        <v>15000000</v>
      </c>
      <c r="K16" s="49">
        <v>36583</v>
      </c>
      <c r="L16" s="179">
        <v>0</v>
      </c>
      <c r="M16" s="151">
        <v>15000000</v>
      </c>
      <c r="N16" s="49">
        <v>36595</v>
      </c>
    </row>
    <row r="17" spans="1:14">
      <c r="A17" s="46">
        <v>2786</v>
      </c>
      <c r="B17" s="47" t="s">
        <v>307</v>
      </c>
      <c r="C17" s="46" t="s">
        <v>70</v>
      </c>
      <c r="D17" s="46" t="s">
        <v>403</v>
      </c>
      <c r="E17" s="46" t="s">
        <v>404</v>
      </c>
      <c r="F17" s="185">
        <v>15000000</v>
      </c>
      <c r="G17" s="185">
        <v>15000000</v>
      </c>
      <c r="H17" s="283">
        <v>36455</v>
      </c>
      <c r="I17" s="49">
        <v>36490</v>
      </c>
      <c r="J17" s="179">
        <v>15000000</v>
      </c>
      <c r="K17" s="49">
        <v>36575</v>
      </c>
      <c r="L17" s="179">
        <v>0</v>
      </c>
      <c r="M17" s="151">
        <v>15000000</v>
      </c>
      <c r="N17" s="49">
        <v>36572</v>
      </c>
    </row>
  </sheetData>
  <phoneticPr fontId="6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opLeftCell="A13" workbookViewId="0">
      <selection activeCell="F64" sqref="F64"/>
    </sheetView>
  </sheetViews>
  <sheetFormatPr defaultRowHeight="12"/>
  <cols>
    <col min="2" max="2" width="7.85546875" bestFit="1" customWidth="1"/>
    <col min="3" max="3" width="15.5703125" bestFit="1" customWidth="1"/>
    <col min="4" max="4" width="17.28515625" customWidth="1"/>
    <col min="6" max="7" width="13.140625" bestFit="1" customWidth="1"/>
    <col min="8" max="8" width="13.28515625" bestFit="1" customWidth="1"/>
    <col min="10" max="10" width="13.140625" bestFit="1" customWidth="1"/>
    <col min="11" max="11" width="9.5703125" bestFit="1" customWidth="1"/>
    <col min="12" max="12" width="13.7109375" bestFit="1" customWidth="1"/>
    <col min="13" max="13" width="12.85546875" customWidth="1"/>
    <col min="15" max="15" width="5" bestFit="1" customWidth="1"/>
  </cols>
  <sheetData>
    <row r="1" spans="1:14">
      <c r="A1" s="319" t="s">
        <v>432</v>
      </c>
    </row>
    <row r="2" spans="1:14">
      <c r="A2" s="75"/>
      <c r="B2" s="43"/>
      <c r="C2" s="92">
        <v>92365295</v>
      </c>
      <c r="D2" s="287"/>
      <c r="E2" s="287"/>
      <c r="F2" s="165"/>
      <c r="G2" s="77"/>
      <c r="H2" s="80"/>
      <c r="I2" s="80"/>
      <c r="J2" s="77"/>
      <c r="K2" s="80"/>
      <c r="L2" s="77"/>
      <c r="M2" s="77"/>
      <c r="N2" s="81"/>
    </row>
    <row r="3" spans="1:14">
      <c r="A3" s="83" t="s">
        <v>54</v>
      </c>
      <c r="B3" s="54" t="s">
        <v>66</v>
      </c>
      <c r="C3" s="54" t="s">
        <v>52</v>
      </c>
      <c r="D3" s="287" t="s">
        <v>83</v>
      </c>
      <c r="E3" s="287" t="s">
        <v>79</v>
      </c>
      <c r="F3" s="206" t="s">
        <v>42</v>
      </c>
      <c r="G3" s="84" t="s">
        <v>13</v>
      </c>
      <c r="H3" s="53" t="s">
        <v>426</v>
      </c>
      <c r="I3" s="53" t="s">
        <v>56</v>
      </c>
      <c r="J3" s="84" t="s">
        <v>7</v>
      </c>
      <c r="K3" s="53"/>
      <c r="L3" s="84" t="s">
        <v>47</v>
      </c>
      <c r="M3" s="47" t="s">
        <v>408</v>
      </c>
      <c r="N3" s="81" t="s">
        <v>41</v>
      </c>
    </row>
    <row r="4" spans="1:14">
      <c r="A4" s="83" t="s">
        <v>82</v>
      </c>
      <c r="B4" s="82"/>
      <c r="C4" s="54"/>
      <c r="D4" s="287"/>
      <c r="E4" s="287"/>
      <c r="F4" s="206" t="s">
        <v>75</v>
      </c>
      <c r="G4" s="84" t="s">
        <v>75</v>
      </c>
      <c r="H4" s="53" t="s">
        <v>14</v>
      </c>
      <c r="I4" s="53" t="s">
        <v>35</v>
      </c>
      <c r="J4" s="84" t="s">
        <v>75</v>
      </c>
      <c r="K4" s="53" t="s">
        <v>35</v>
      </c>
      <c r="L4" s="84" t="s">
        <v>75</v>
      </c>
      <c r="M4" s="47" t="s">
        <v>409</v>
      </c>
      <c r="N4" s="81" t="s">
        <v>8</v>
      </c>
    </row>
    <row r="5" spans="1:14" ht="12.75" thickBot="1">
      <c r="A5" s="98" t="s">
        <v>32</v>
      </c>
      <c r="B5" s="99"/>
      <c r="C5" s="85"/>
      <c r="D5" s="288"/>
      <c r="E5" s="288"/>
      <c r="F5" s="241"/>
      <c r="G5" s="137"/>
      <c r="H5" s="101"/>
      <c r="I5" s="101"/>
      <c r="J5" s="137"/>
      <c r="K5" s="101"/>
      <c r="L5" s="137"/>
      <c r="M5" s="137"/>
      <c r="N5" s="102" t="s">
        <v>14</v>
      </c>
    </row>
    <row r="6" spans="1:14">
      <c r="A6" s="75" t="s">
        <v>90</v>
      </c>
      <c r="B6" s="82"/>
      <c r="C6" s="54"/>
      <c r="D6" s="287"/>
      <c r="E6" s="287"/>
      <c r="F6" s="206"/>
      <c r="G6" s="84"/>
      <c r="H6" s="53"/>
      <c r="I6" s="53"/>
      <c r="J6" s="84"/>
      <c r="K6" s="53"/>
      <c r="L6" s="84"/>
      <c r="M6" s="84"/>
      <c r="N6" s="53"/>
    </row>
    <row r="7" spans="1:14" s="227" customFormat="1">
      <c r="A7" s="314" t="s">
        <v>418</v>
      </c>
      <c r="B7" s="82" t="s">
        <v>395</v>
      </c>
      <c r="C7" s="82" t="s">
        <v>416</v>
      </c>
      <c r="D7" s="315" t="s">
        <v>417</v>
      </c>
      <c r="E7" s="315" t="s">
        <v>61</v>
      </c>
      <c r="F7" s="165">
        <v>14000000</v>
      </c>
      <c r="G7" s="165">
        <v>14000000</v>
      </c>
      <c r="H7" s="80">
        <v>36889</v>
      </c>
      <c r="I7" s="80"/>
      <c r="J7" s="77">
        <v>14000000</v>
      </c>
      <c r="K7" s="80">
        <v>37984</v>
      </c>
      <c r="L7" s="77">
        <v>14000000</v>
      </c>
      <c r="M7" s="77">
        <v>0</v>
      </c>
      <c r="N7" s="80">
        <v>37006</v>
      </c>
    </row>
    <row r="8" spans="1:14">
      <c r="A8" s="75" t="s">
        <v>420</v>
      </c>
      <c r="B8" s="54" t="s">
        <v>308</v>
      </c>
      <c r="C8" s="54" t="s">
        <v>416</v>
      </c>
      <c r="D8" s="287" t="s">
        <v>423</v>
      </c>
      <c r="E8" s="287" t="s">
        <v>419</v>
      </c>
      <c r="F8" s="206">
        <v>10100000</v>
      </c>
      <c r="G8" s="206">
        <v>10100000</v>
      </c>
      <c r="H8" s="53">
        <v>36889</v>
      </c>
      <c r="I8" s="53"/>
      <c r="J8" s="84"/>
      <c r="K8" s="53">
        <v>37984</v>
      </c>
      <c r="L8" s="84"/>
      <c r="M8" s="84"/>
      <c r="N8" s="53"/>
    </row>
    <row r="9" spans="1:14">
      <c r="A9" s="75" t="s">
        <v>421</v>
      </c>
      <c r="B9" s="54" t="s">
        <v>308</v>
      </c>
      <c r="C9" s="54" t="s">
        <v>416</v>
      </c>
      <c r="D9" s="287" t="s">
        <v>424</v>
      </c>
      <c r="E9" s="287" t="s">
        <v>337</v>
      </c>
      <c r="F9" s="206">
        <v>6000000</v>
      </c>
      <c r="G9" s="206">
        <v>6000000</v>
      </c>
      <c r="H9" s="53">
        <v>36889</v>
      </c>
      <c r="I9" s="53"/>
      <c r="J9" s="206">
        <v>6000000</v>
      </c>
      <c r="K9" s="53">
        <v>37984</v>
      </c>
      <c r="L9" s="84"/>
      <c r="M9" s="84"/>
      <c r="N9" s="53"/>
    </row>
    <row r="10" spans="1:14">
      <c r="A10" s="75" t="s">
        <v>422</v>
      </c>
      <c r="B10" s="54" t="s">
        <v>308</v>
      </c>
      <c r="C10" s="54" t="s">
        <v>416</v>
      </c>
      <c r="D10" s="287" t="s">
        <v>425</v>
      </c>
      <c r="E10" s="287" t="s">
        <v>337</v>
      </c>
      <c r="F10" s="206">
        <v>7000000</v>
      </c>
      <c r="G10" s="206">
        <v>7000000</v>
      </c>
      <c r="H10" s="53">
        <v>36889</v>
      </c>
      <c r="I10" s="53"/>
      <c r="J10" s="206">
        <v>7000000</v>
      </c>
      <c r="K10" s="53">
        <v>37984</v>
      </c>
      <c r="L10" s="84"/>
      <c r="M10" s="84"/>
      <c r="N10" s="53"/>
    </row>
    <row r="11" spans="1:14">
      <c r="A11" s="75"/>
      <c r="B11" s="82"/>
      <c r="C11" s="54"/>
      <c r="D11" s="287"/>
      <c r="E11" s="287"/>
      <c r="F11" s="206"/>
      <c r="G11" s="84"/>
      <c r="H11" s="53"/>
      <c r="I11" s="53"/>
      <c r="J11" s="84"/>
      <c r="K11" s="53"/>
      <c r="L11" s="84"/>
      <c r="M11" s="84"/>
      <c r="N11" s="53"/>
    </row>
    <row r="12" spans="1:14">
      <c r="A12" s="75" t="s">
        <v>148</v>
      </c>
      <c r="B12" s="82"/>
      <c r="C12" s="54"/>
      <c r="D12" s="287"/>
      <c r="E12" s="287"/>
      <c r="F12" s="206"/>
      <c r="G12" s="84"/>
      <c r="H12" s="53"/>
      <c r="I12" s="53"/>
      <c r="J12" s="84"/>
      <c r="K12" s="53"/>
      <c r="L12" s="84"/>
      <c r="M12" s="84"/>
      <c r="N12" s="53"/>
    </row>
    <row r="13" spans="1:14">
      <c r="A13" s="75" t="s">
        <v>413</v>
      </c>
      <c r="B13" s="54" t="s">
        <v>308</v>
      </c>
      <c r="C13" s="117" t="s">
        <v>401</v>
      </c>
      <c r="D13" s="287" t="s">
        <v>414</v>
      </c>
      <c r="E13" s="287" t="s">
        <v>415</v>
      </c>
      <c r="F13" s="206">
        <v>50000000</v>
      </c>
      <c r="G13" s="206">
        <v>50000000</v>
      </c>
      <c r="H13" s="53">
        <v>36889</v>
      </c>
      <c r="I13" s="53"/>
      <c r="J13" s="84">
        <v>50000000</v>
      </c>
      <c r="K13" s="53">
        <v>37984</v>
      </c>
      <c r="L13" s="84"/>
      <c r="M13" s="84"/>
      <c r="N13" s="53"/>
    </row>
    <row r="14" spans="1:14">
      <c r="A14" s="75"/>
      <c r="B14" s="82"/>
      <c r="C14" s="54"/>
      <c r="D14" s="287"/>
      <c r="E14" s="287"/>
      <c r="F14" s="206"/>
      <c r="G14" s="84"/>
      <c r="H14" s="53"/>
      <c r="I14" s="53"/>
      <c r="J14" s="84"/>
      <c r="K14" s="53"/>
      <c r="L14" s="84"/>
      <c r="M14" s="84"/>
      <c r="N14" s="53"/>
    </row>
    <row r="15" spans="1:14">
      <c r="A15" s="75" t="s">
        <v>149</v>
      </c>
      <c r="B15" s="82"/>
      <c r="C15" s="54"/>
      <c r="D15" s="287"/>
      <c r="E15" s="287"/>
      <c r="F15" s="206"/>
      <c r="G15" s="84"/>
      <c r="H15" s="53"/>
      <c r="I15" s="53"/>
      <c r="J15" s="84"/>
      <c r="K15" s="53"/>
      <c r="L15" s="84"/>
      <c r="M15" s="84"/>
      <c r="N15" s="53"/>
    </row>
    <row r="16" spans="1:14" s="227" customFormat="1">
      <c r="A16" s="327" t="s">
        <v>410</v>
      </c>
      <c r="B16" s="82" t="s">
        <v>395</v>
      </c>
      <c r="C16" s="43" t="s">
        <v>132</v>
      </c>
      <c r="D16" s="108" t="s">
        <v>411</v>
      </c>
      <c r="E16" s="311" t="s">
        <v>412</v>
      </c>
      <c r="F16" s="184">
        <v>50000000</v>
      </c>
      <c r="G16" s="77">
        <v>5265295</v>
      </c>
      <c r="H16" s="80">
        <v>36930</v>
      </c>
      <c r="I16" s="80"/>
      <c r="J16" s="77">
        <v>5265295</v>
      </c>
      <c r="K16" s="80">
        <v>38025</v>
      </c>
      <c r="L16" s="77">
        <v>5200000</v>
      </c>
      <c r="M16" s="77">
        <v>65295</v>
      </c>
      <c r="N16" s="80">
        <v>37047</v>
      </c>
    </row>
    <row r="17" spans="1:14">
      <c r="A17" s="83"/>
      <c r="B17" s="82"/>
      <c r="C17" s="173" t="s">
        <v>36</v>
      </c>
      <c r="D17" s="47"/>
      <c r="E17" s="173"/>
      <c r="F17" s="167">
        <f>SUM(F7:F16)</f>
        <v>137100000</v>
      </c>
      <c r="G17" s="167">
        <f>SUM(G7:G16)</f>
        <v>92365295</v>
      </c>
      <c r="H17" s="53"/>
      <c r="I17" s="53"/>
      <c r="J17" s="167">
        <f>SUM(J7:J16)</f>
        <v>82265295</v>
      </c>
      <c r="K17" s="53"/>
      <c r="L17" s="167">
        <f>SUM(L7:L16)</f>
        <v>19200000</v>
      </c>
      <c r="M17" s="167">
        <f>SUM(M7:M16)</f>
        <v>65295</v>
      </c>
      <c r="N17" s="53"/>
    </row>
    <row r="18" spans="1:14">
      <c r="A18" s="83"/>
      <c r="B18" s="82"/>
      <c r="C18" s="173"/>
      <c r="D18" s="47"/>
      <c r="E18" s="173"/>
      <c r="F18" s="159"/>
      <c r="G18" s="84"/>
      <c r="H18" s="53"/>
      <c r="I18" s="53"/>
      <c r="J18" s="84"/>
      <c r="K18" s="53"/>
      <c r="L18" s="84"/>
      <c r="M18" s="84"/>
      <c r="N18" s="53"/>
    </row>
    <row r="19" spans="1:14">
      <c r="A19" s="43"/>
      <c r="B19" s="43"/>
      <c r="C19" s="173" t="s">
        <v>76</v>
      </c>
      <c r="D19" s="47"/>
      <c r="E19" s="289"/>
      <c r="F19" s="159">
        <f>SUM(F17-G17)</f>
        <v>44734705</v>
      </c>
      <c r="G19" s="44"/>
      <c r="H19" s="43"/>
      <c r="I19" s="43"/>
      <c r="J19" s="43"/>
      <c r="K19" s="43"/>
      <c r="L19" s="43"/>
      <c r="M19" s="43"/>
      <c r="N19" s="43"/>
    </row>
    <row r="20" spans="1:14">
      <c r="A20" s="83"/>
      <c r="B20" s="82"/>
      <c r="C20" s="173"/>
      <c r="D20" s="47"/>
      <c r="E20" s="173"/>
      <c r="F20" s="61"/>
      <c r="G20" s="84"/>
      <c r="H20" s="53"/>
      <c r="I20" s="53"/>
      <c r="J20" s="84"/>
      <c r="K20" s="53"/>
      <c r="L20" s="84"/>
      <c r="M20" s="84"/>
      <c r="N20" s="53"/>
    </row>
    <row r="21" spans="1:14">
      <c r="A21" s="83"/>
      <c r="B21" s="82"/>
      <c r="C21" s="173" t="s">
        <v>16</v>
      </c>
      <c r="D21" s="47"/>
      <c r="E21" s="173"/>
      <c r="F21" s="168">
        <v>0</v>
      </c>
      <c r="G21" s="43"/>
      <c r="H21" s="53"/>
      <c r="I21" s="53"/>
      <c r="J21" s="84"/>
      <c r="K21" s="53"/>
      <c r="L21" s="84"/>
      <c r="M21" s="84"/>
      <c r="N21" s="53"/>
    </row>
    <row r="22" spans="1:14">
      <c r="A22" s="83"/>
      <c r="B22" s="82"/>
      <c r="C22" s="173"/>
      <c r="D22" s="47"/>
      <c r="E22" s="173"/>
      <c r="F22" s="77"/>
      <c r="G22" s="43"/>
      <c r="H22" s="53"/>
      <c r="I22" s="53"/>
      <c r="J22" s="84"/>
      <c r="K22" s="53"/>
      <c r="L22" s="84"/>
      <c r="M22" s="84"/>
      <c r="N22" s="53"/>
    </row>
    <row r="23" spans="1:14" ht="12.75" thickBot="1">
      <c r="A23" s="318" t="s">
        <v>431</v>
      </c>
      <c r="B23" s="99"/>
      <c r="C23" s="85"/>
      <c r="D23" s="288"/>
      <c r="E23" s="288"/>
      <c r="F23" s="241"/>
      <c r="G23" s="137"/>
      <c r="H23" s="101"/>
      <c r="I23" s="101"/>
      <c r="J23" s="137"/>
      <c r="K23" s="101"/>
      <c r="L23" s="137"/>
      <c r="M23" s="137"/>
      <c r="N23" s="101"/>
    </row>
    <row r="24" spans="1:14">
      <c r="A24" s="83" t="s">
        <v>54</v>
      </c>
      <c r="B24" s="54" t="s">
        <v>66</v>
      </c>
      <c r="C24" s="54" t="s">
        <v>52</v>
      </c>
      <c r="D24" s="287" t="s">
        <v>83</v>
      </c>
      <c r="E24" s="287" t="s">
        <v>79</v>
      </c>
      <c r="F24" s="206" t="s">
        <v>42</v>
      </c>
      <c r="G24" s="84" t="s">
        <v>13</v>
      </c>
      <c r="H24" s="53" t="s">
        <v>426</v>
      </c>
      <c r="I24" s="53" t="s">
        <v>56</v>
      </c>
      <c r="J24" s="84" t="s">
        <v>7</v>
      </c>
      <c r="K24" s="53"/>
      <c r="L24" s="84" t="s">
        <v>47</v>
      </c>
      <c r="M24" s="47" t="s">
        <v>408</v>
      </c>
      <c r="N24" s="81" t="s">
        <v>41</v>
      </c>
    </row>
    <row r="25" spans="1:14">
      <c r="A25" s="83" t="s">
        <v>82</v>
      </c>
      <c r="B25" s="82"/>
      <c r="C25" s="54"/>
      <c r="D25" s="287"/>
      <c r="E25" s="287"/>
      <c r="F25" s="206" t="s">
        <v>75</v>
      </c>
      <c r="G25" s="84" t="s">
        <v>75</v>
      </c>
      <c r="H25" s="53" t="s">
        <v>14</v>
      </c>
      <c r="I25" s="53" t="s">
        <v>35</v>
      </c>
      <c r="J25" s="84" t="s">
        <v>75</v>
      </c>
      <c r="K25" s="53" t="s">
        <v>35</v>
      </c>
      <c r="L25" s="84" t="s">
        <v>75</v>
      </c>
      <c r="M25" s="76" t="s">
        <v>479</v>
      </c>
      <c r="N25" s="81" t="s">
        <v>8</v>
      </c>
    </row>
    <row r="26" spans="1:14" ht="12.75" thickBot="1">
      <c r="A26" s="98" t="s">
        <v>32</v>
      </c>
      <c r="B26" s="99"/>
      <c r="C26" s="85"/>
      <c r="D26" s="288"/>
      <c r="E26" s="288"/>
      <c r="F26" s="241"/>
      <c r="G26" s="137"/>
      <c r="H26" s="101"/>
      <c r="I26" s="101"/>
      <c r="J26" s="137"/>
      <c r="K26" s="101"/>
      <c r="L26" s="137"/>
      <c r="M26" s="100"/>
      <c r="N26" s="102" t="s">
        <v>14</v>
      </c>
    </row>
    <row r="27" spans="1:14">
      <c r="A27" s="66" t="s">
        <v>38</v>
      </c>
      <c r="B27" s="82"/>
      <c r="C27" s="54"/>
      <c r="D27" s="287"/>
      <c r="E27" s="287"/>
      <c r="F27" s="206"/>
      <c r="G27" s="84"/>
      <c r="H27" s="53"/>
      <c r="I27" s="53"/>
      <c r="J27" s="84"/>
      <c r="K27" s="53"/>
      <c r="L27" s="84"/>
      <c r="M27" s="76"/>
      <c r="N27" s="53"/>
    </row>
    <row r="28" spans="1:14" ht="12.75" thickBot="1">
      <c r="A28" s="255">
        <v>2905</v>
      </c>
      <c r="B28" s="47" t="s">
        <v>308</v>
      </c>
      <c r="C28" s="46" t="s">
        <v>309</v>
      </c>
      <c r="D28" s="185" t="s">
        <v>310</v>
      </c>
      <c r="E28" s="256">
        <v>0.99819999999999998</v>
      </c>
      <c r="F28" s="129">
        <v>18910000</v>
      </c>
      <c r="G28" s="185">
        <v>18910000</v>
      </c>
      <c r="H28" s="52">
        <v>36750</v>
      </c>
      <c r="I28" s="52">
        <f>H28+35</f>
        <v>36785</v>
      </c>
      <c r="J28" s="186">
        <v>18910000</v>
      </c>
      <c r="K28" s="52">
        <f>H28+180</f>
        <v>36930</v>
      </c>
      <c r="L28" s="84">
        <v>0</v>
      </c>
      <c r="M28" s="76">
        <v>18910000</v>
      </c>
      <c r="N28" s="53"/>
    </row>
    <row r="29" spans="1:14">
      <c r="A29" s="66" t="s">
        <v>19</v>
      </c>
    </row>
    <row r="30" spans="1:14">
      <c r="A30" s="75" t="s">
        <v>3</v>
      </c>
    </row>
    <row r="31" spans="1:14">
      <c r="A31" s="43">
        <v>2935</v>
      </c>
      <c r="B31" s="108" t="s">
        <v>395</v>
      </c>
      <c r="C31" s="108" t="s">
        <v>11</v>
      </c>
      <c r="D31" s="43" t="s">
        <v>311</v>
      </c>
      <c r="E31" s="108" t="s">
        <v>106</v>
      </c>
      <c r="F31" s="187">
        <v>15000000</v>
      </c>
      <c r="G31" s="162">
        <v>15000000</v>
      </c>
      <c r="H31" s="60">
        <v>36762</v>
      </c>
      <c r="I31" s="60">
        <f>H31+35</f>
        <v>36797</v>
      </c>
      <c r="J31" s="163">
        <v>15000000</v>
      </c>
      <c r="K31" s="60">
        <f>H31+150</f>
        <v>36912</v>
      </c>
      <c r="L31" s="163">
        <v>15000000</v>
      </c>
      <c r="M31" s="159">
        <v>0</v>
      </c>
      <c r="N31" s="60">
        <v>36923</v>
      </c>
    </row>
    <row r="32" spans="1:14">
      <c r="A32" s="43">
        <v>2938</v>
      </c>
      <c r="B32" s="108" t="s">
        <v>395</v>
      </c>
      <c r="C32" s="108" t="s">
        <v>11</v>
      </c>
      <c r="D32" s="43" t="s">
        <v>312</v>
      </c>
      <c r="E32" s="108" t="s">
        <v>106</v>
      </c>
      <c r="F32" s="187">
        <v>15000000</v>
      </c>
      <c r="G32" s="187">
        <v>15000000</v>
      </c>
      <c r="H32" s="272">
        <v>36768</v>
      </c>
      <c r="I32" s="60">
        <f>H32+35</f>
        <v>36803</v>
      </c>
      <c r="J32" s="146">
        <v>15000000</v>
      </c>
      <c r="K32" s="60">
        <f>H32+150</f>
        <v>36918</v>
      </c>
      <c r="L32" s="163">
        <v>15000000</v>
      </c>
      <c r="M32" s="159">
        <v>0</v>
      </c>
      <c r="N32" s="60">
        <v>36925</v>
      </c>
    </row>
    <row r="33" spans="1:15" s="227" customFormat="1">
      <c r="A33" s="43">
        <v>2949</v>
      </c>
      <c r="B33" s="108" t="s">
        <v>395</v>
      </c>
      <c r="C33" s="108" t="s">
        <v>11</v>
      </c>
      <c r="D33" s="43" t="s">
        <v>313</v>
      </c>
      <c r="E33" s="108" t="s">
        <v>106</v>
      </c>
      <c r="F33" s="187">
        <v>15000000</v>
      </c>
      <c r="G33" s="187">
        <v>15000000</v>
      </c>
      <c r="H33" s="80">
        <v>36778</v>
      </c>
      <c r="I33" s="60">
        <f>H33+35</f>
        <v>36813</v>
      </c>
      <c r="J33" s="341">
        <v>15000000</v>
      </c>
      <c r="K33" s="60">
        <f>H33+150</f>
        <v>36928</v>
      </c>
      <c r="L33" s="165">
        <v>14400000</v>
      </c>
      <c r="M33" s="208">
        <f>SUM(J33-L33)</f>
        <v>600000</v>
      </c>
      <c r="N33" s="80">
        <v>36932</v>
      </c>
      <c r="O33" s="227">
        <v>2984</v>
      </c>
    </row>
    <row r="34" spans="1:15">
      <c r="A34" s="117"/>
    </row>
    <row r="35" spans="1:15">
      <c r="A35" s="43">
        <v>2915</v>
      </c>
      <c r="B35" s="108" t="s">
        <v>395</v>
      </c>
      <c r="C35" s="108" t="s">
        <v>22</v>
      </c>
      <c r="D35" s="43" t="s">
        <v>314</v>
      </c>
      <c r="E35" s="108" t="s">
        <v>315</v>
      </c>
      <c r="F35" s="187">
        <v>9500000</v>
      </c>
      <c r="G35" s="165">
        <v>9500000</v>
      </c>
      <c r="H35" s="60">
        <v>36757</v>
      </c>
      <c r="I35" s="60">
        <f>H35+35</f>
        <v>36792</v>
      </c>
      <c r="J35" s="146">
        <v>9500000</v>
      </c>
      <c r="K35" s="60">
        <f>H35+150</f>
        <v>36907</v>
      </c>
      <c r="L35" s="163">
        <v>9500000</v>
      </c>
      <c r="M35" s="159">
        <v>0</v>
      </c>
      <c r="N35" s="60">
        <v>36911</v>
      </c>
    </row>
    <row r="36" spans="1:15">
      <c r="A36" s="117"/>
    </row>
    <row r="37" spans="1:15">
      <c r="A37" s="46">
        <v>2928</v>
      </c>
      <c r="B37" s="173" t="s">
        <v>395</v>
      </c>
      <c r="C37" s="173" t="s">
        <v>316</v>
      </c>
      <c r="D37" s="46" t="s">
        <v>317</v>
      </c>
      <c r="E37" s="173" t="s">
        <v>318</v>
      </c>
      <c r="F37" s="185">
        <v>15000000</v>
      </c>
      <c r="G37" s="151">
        <v>15000000</v>
      </c>
      <c r="H37" s="49">
        <v>36761</v>
      </c>
      <c r="I37" s="49">
        <f>H37+35</f>
        <v>36796</v>
      </c>
      <c r="J37" s="147">
        <v>15000000</v>
      </c>
      <c r="K37" s="49">
        <f>H37+150</f>
        <v>36911</v>
      </c>
      <c r="L37" s="151">
        <v>13800000</v>
      </c>
      <c r="M37" s="209">
        <f>SUM(J37-L37)</f>
        <v>1200000</v>
      </c>
      <c r="N37" s="49">
        <v>36921</v>
      </c>
    </row>
    <row r="38" spans="1:15">
      <c r="A38" s="117"/>
    </row>
    <row r="39" spans="1:15">
      <c r="A39" s="46">
        <v>2916</v>
      </c>
      <c r="B39" s="173" t="s">
        <v>395</v>
      </c>
      <c r="C39" s="173" t="s">
        <v>77</v>
      </c>
      <c r="D39" s="46" t="s">
        <v>319</v>
      </c>
      <c r="E39" s="173" t="s">
        <v>114</v>
      </c>
      <c r="F39" s="185">
        <v>15000000</v>
      </c>
      <c r="G39" s="206">
        <v>15000000</v>
      </c>
      <c r="H39" s="49">
        <v>36757</v>
      </c>
      <c r="I39" s="49">
        <f t="shared" ref="I39:I45" si="0">H39+35</f>
        <v>36792</v>
      </c>
      <c r="J39" s="147">
        <v>15000000</v>
      </c>
      <c r="K39" s="49">
        <f t="shared" ref="K39:K45" si="1">H39+150</f>
        <v>36907</v>
      </c>
      <c r="L39" s="206">
        <v>7100000</v>
      </c>
      <c r="M39" s="209">
        <f>SUM(J39-L39)</f>
        <v>7900000</v>
      </c>
      <c r="N39" s="53">
        <v>36916</v>
      </c>
    </row>
    <row r="40" spans="1:15">
      <c r="A40" s="46">
        <v>2917</v>
      </c>
      <c r="B40" s="173" t="s">
        <v>395</v>
      </c>
      <c r="C40" s="173" t="s">
        <v>77</v>
      </c>
      <c r="D40" s="46" t="s">
        <v>320</v>
      </c>
      <c r="E40" s="173" t="s">
        <v>111</v>
      </c>
      <c r="F40" s="185">
        <v>15000000</v>
      </c>
      <c r="G40" s="206">
        <v>15000000</v>
      </c>
      <c r="H40" s="49">
        <v>36757</v>
      </c>
      <c r="I40" s="49">
        <f t="shared" si="0"/>
        <v>36792</v>
      </c>
      <c r="J40" s="147">
        <v>15000000</v>
      </c>
      <c r="K40" s="49">
        <f t="shared" si="1"/>
        <v>36907</v>
      </c>
      <c r="L40" s="206">
        <v>10800000</v>
      </c>
      <c r="M40" s="209">
        <f>SUM(J40-L40)</f>
        <v>4200000</v>
      </c>
      <c r="N40" s="53">
        <v>36918</v>
      </c>
    </row>
    <row r="41" spans="1:15">
      <c r="A41" s="46">
        <v>2922</v>
      </c>
      <c r="B41" s="173" t="s">
        <v>395</v>
      </c>
      <c r="C41" s="173" t="s">
        <v>77</v>
      </c>
      <c r="D41" s="46" t="s">
        <v>321</v>
      </c>
      <c r="E41" s="173" t="s">
        <v>61</v>
      </c>
      <c r="F41" s="185">
        <v>15000000</v>
      </c>
      <c r="G41" s="206">
        <v>15000000</v>
      </c>
      <c r="H41" s="49">
        <v>36760</v>
      </c>
      <c r="I41" s="49">
        <f t="shared" si="0"/>
        <v>36795</v>
      </c>
      <c r="J41" s="147">
        <v>15000000</v>
      </c>
      <c r="K41" s="49">
        <f t="shared" si="1"/>
        <v>36910</v>
      </c>
      <c r="L41" s="206">
        <v>12600000</v>
      </c>
      <c r="M41" s="209">
        <f>SUM(J41-L41)</f>
        <v>2400000</v>
      </c>
      <c r="N41" s="53">
        <v>36918</v>
      </c>
    </row>
    <row r="42" spans="1:15">
      <c r="A42" s="46">
        <v>2923</v>
      </c>
      <c r="B42" s="173" t="s">
        <v>307</v>
      </c>
      <c r="C42" s="173" t="s">
        <v>77</v>
      </c>
      <c r="D42" s="46" t="s">
        <v>322</v>
      </c>
      <c r="E42" s="173" t="s">
        <v>113</v>
      </c>
      <c r="F42" s="185">
        <v>15000000</v>
      </c>
      <c r="G42" s="206">
        <v>15000000</v>
      </c>
      <c r="H42" s="49">
        <v>36760</v>
      </c>
      <c r="I42" s="49">
        <f t="shared" si="0"/>
        <v>36795</v>
      </c>
      <c r="J42" s="147">
        <v>15000000</v>
      </c>
      <c r="K42" s="49">
        <f t="shared" si="1"/>
        <v>36910</v>
      </c>
      <c r="L42" s="206">
        <v>0</v>
      </c>
      <c r="M42" s="209">
        <f>SUM(J42-L42)</f>
        <v>15000000</v>
      </c>
      <c r="N42" s="53">
        <v>36916</v>
      </c>
    </row>
    <row r="43" spans="1:15">
      <c r="A43" s="46">
        <v>2950</v>
      </c>
      <c r="B43" s="173" t="s">
        <v>307</v>
      </c>
      <c r="C43" s="173" t="s">
        <v>77</v>
      </c>
      <c r="D43" s="46" t="s">
        <v>323</v>
      </c>
      <c r="E43" s="173" t="s">
        <v>111</v>
      </c>
      <c r="F43" s="185">
        <v>13000000</v>
      </c>
      <c r="G43" s="257">
        <v>13000000</v>
      </c>
      <c r="H43" s="53">
        <v>36778</v>
      </c>
      <c r="I43" s="49">
        <f t="shared" si="0"/>
        <v>36813</v>
      </c>
      <c r="J43" s="147">
        <v>13000000</v>
      </c>
      <c r="K43" s="49">
        <f t="shared" si="1"/>
        <v>36928</v>
      </c>
      <c r="L43" s="206">
        <v>0</v>
      </c>
      <c r="M43" s="206">
        <v>13000000</v>
      </c>
      <c r="N43" s="53">
        <v>36896</v>
      </c>
    </row>
    <row r="44" spans="1:15">
      <c r="A44" s="46">
        <v>2952</v>
      </c>
      <c r="B44" s="173" t="s">
        <v>395</v>
      </c>
      <c r="C44" s="173" t="s">
        <v>77</v>
      </c>
      <c r="D44" s="46" t="s">
        <v>324</v>
      </c>
      <c r="E44" s="173" t="s">
        <v>325</v>
      </c>
      <c r="F44" s="185">
        <v>15000000</v>
      </c>
      <c r="G44" s="257">
        <v>15000000</v>
      </c>
      <c r="H44" s="53">
        <v>36782</v>
      </c>
      <c r="I44" s="49">
        <f t="shared" si="0"/>
        <v>36817</v>
      </c>
      <c r="J44" s="257">
        <v>15000000</v>
      </c>
      <c r="K44" s="49">
        <f t="shared" si="1"/>
        <v>36932</v>
      </c>
      <c r="L44" s="206">
        <f>13600000-'REGION 6'!M54</f>
        <v>13450000</v>
      </c>
      <c r="M44" s="209">
        <f>SUM(J44-L44)</f>
        <v>1550000</v>
      </c>
      <c r="N44" s="53">
        <v>36944</v>
      </c>
    </row>
    <row r="45" spans="1:15">
      <c r="A45" s="46">
        <v>2955</v>
      </c>
      <c r="B45" s="173" t="s">
        <v>395</v>
      </c>
      <c r="C45" s="173" t="s">
        <v>77</v>
      </c>
      <c r="D45" s="46" t="s">
        <v>326</v>
      </c>
      <c r="E45" s="173" t="s">
        <v>61</v>
      </c>
      <c r="F45" s="185">
        <v>15000000</v>
      </c>
      <c r="G45" s="185">
        <v>15000000</v>
      </c>
      <c r="H45" s="53">
        <v>36803</v>
      </c>
      <c r="I45" s="49">
        <f t="shared" si="0"/>
        <v>36838</v>
      </c>
      <c r="J45" s="147">
        <v>15000000</v>
      </c>
      <c r="K45" s="49">
        <f t="shared" si="1"/>
        <v>36953</v>
      </c>
      <c r="L45" s="179">
        <v>10500000</v>
      </c>
      <c r="M45" s="209">
        <f>SUM(J45-L45)</f>
        <v>4500000</v>
      </c>
      <c r="N45" s="53">
        <v>36958</v>
      </c>
    </row>
    <row r="46" spans="1:15">
      <c r="A46" s="117"/>
      <c r="J46" s="279"/>
      <c r="L46" s="279"/>
      <c r="M46" s="279"/>
    </row>
    <row r="47" spans="1:15">
      <c r="A47" s="46">
        <v>2932</v>
      </c>
      <c r="B47" s="173" t="s">
        <v>395</v>
      </c>
      <c r="C47" s="173" t="s">
        <v>15</v>
      </c>
      <c r="D47" s="46" t="s">
        <v>327</v>
      </c>
      <c r="E47" s="173" t="s">
        <v>328</v>
      </c>
      <c r="F47" s="185">
        <v>15000000</v>
      </c>
      <c r="G47" s="257">
        <v>15000000</v>
      </c>
      <c r="H47" s="49">
        <v>36762</v>
      </c>
      <c r="I47" s="49">
        <f>H47+35</f>
        <v>36797</v>
      </c>
      <c r="J47" s="147">
        <v>15000000</v>
      </c>
      <c r="K47" s="49">
        <f>H47+150</f>
        <v>36912</v>
      </c>
      <c r="L47" s="206">
        <v>10000000</v>
      </c>
      <c r="M47" s="209">
        <f>SUM(J47-L47)</f>
        <v>5000000</v>
      </c>
      <c r="N47" s="53">
        <v>36922</v>
      </c>
    </row>
    <row r="48" spans="1:15">
      <c r="A48" s="46"/>
      <c r="B48" s="173"/>
      <c r="C48" s="173"/>
      <c r="D48" s="46"/>
      <c r="E48" s="173"/>
      <c r="F48" s="185"/>
      <c r="G48" s="257"/>
      <c r="H48" s="49"/>
      <c r="I48" s="49"/>
      <c r="J48" s="147"/>
      <c r="K48" s="49"/>
      <c r="L48" s="206"/>
      <c r="M48" s="206"/>
      <c r="N48" s="53"/>
    </row>
    <row r="49" spans="1:15">
      <c r="A49" s="43">
        <v>2953</v>
      </c>
      <c r="B49" s="108" t="s">
        <v>395</v>
      </c>
      <c r="C49" s="108" t="s">
        <v>229</v>
      </c>
      <c r="D49" s="43" t="s">
        <v>329</v>
      </c>
      <c r="E49" s="108" t="s">
        <v>330</v>
      </c>
      <c r="F49" s="187">
        <v>15000000</v>
      </c>
      <c r="G49" s="187">
        <v>15000000</v>
      </c>
      <c r="H49" s="80">
        <v>36783</v>
      </c>
      <c r="I49" s="60">
        <f>H49+35</f>
        <v>36818</v>
      </c>
      <c r="J49" s="146">
        <v>15000000</v>
      </c>
      <c r="K49" s="60">
        <f>H49+150</f>
        <v>36933</v>
      </c>
      <c r="L49" s="159">
        <v>15000000</v>
      </c>
      <c r="M49" s="208">
        <f>SUM(J49-L49)</f>
        <v>0</v>
      </c>
      <c r="N49" s="60">
        <v>36939</v>
      </c>
    </row>
    <row r="50" spans="1:15">
      <c r="A50" s="46"/>
      <c r="B50" s="173"/>
      <c r="C50" s="173"/>
      <c r="D50" s="46"/>
      <c r="E50" s="173"/>
      <c r="F50" s="185"/>
      <c r="G50" s="185"/>
      <c r="H50" s="53"/>
      <c r="I50" s="49"/>
      <c r="J50" s="147"/>
      <c r="K50" s="49"/>
      <c r="L50" s="179"/>
      <c r="M50" s="151"/>
      <c r="N50" s="47"/>
    </row>
    <row r="51" spans="1:15" s="227" customFormat="1">
      <c r="A51" s="43">
        <v>2927</v>
      </c>
      <c r="B51" s="108" t="s">
        <v>307</v>
      </c>
      <c r="C51" s="108" t="s">
        <v>28</v>
      </c>
      <c r="D51" s="43" t="s">
        <v>331</v>
      </c>
      <c r="E51" s="108" t="s">
        <v>102</v>
      </c>
      <c r="F51" s="187">
        <v>15000000</v>
      </c>
      <c r="G51" s="163">
        <v>15000000</v>
      </c>
      <c r="H51" s="60">
        <v>36760</v>
      </c>
      <c r="I51" s="60">
        <f>H51+35</f>
        <v>36795</v>
      </c>
      <c r="J51" s="146">
        <v>15000000</v>
      </c>
      <c r="K51" s="60">
        <f>H51+150</f>
        <v>36910</v>
      </c>
      <c r="L51" s="163">
        <v>0</v>
      </c>
      <c r="M51" s="208">
        <f>SUM(J51-L51)</f>
        <v>15000000</v>
      </c>
      <c r="N51" s="60">
        <v>36925</v>
      </c>
      <c r="O51" s="227">
        <v>3102</v>
      </c>
    </row>
    <row r="52" spans="1:15">
      <c r="A52" s="46">
        <v>2942</v>
      </c>
      <c r="B52" s="173" t="s">
        <v>395</v>
      </c>
      <c r="C52" s="173" t="s">
        <v>28</v>
      </c>
      <c r="D52" s="46" t="s">
        <v>332</v>
      </c>
      <c r="E52" s="173" t="s">
        <v>99</v>
      </c>
      <c r="F52" s="185">
        <v>15000000</v>
      </c>
      <c r="G52" s="257">
        <v>15000000</v>
      </c>
      <c r="H52" s="53">
        <v>36769</v>
      </c>
      <c r="I52" s="49">
        <f>H52+35</f>
        <v>36804</v>
      </c>
      <c r="J52" s="147">
        <v>15000000</v>
      </c>
      <c r="K52" s="49">
        <f>H52+150</f>
        <v>36919</v>
      </c>
      <c r="L52" s="160">
        <v>12000000</v>
      </c>
      <c r="M52" s="209">
        <f>SUM(J52-L52)</f>
        <v>3000000</v>
      </c>
      <c r="N52" s="53">
        <v>36924</v>
      </c>
    </row>
    <row r="53" spans="1:15">
      <c r="A53" s="46">
        <v>2948</v>
      </c>
      <c r="B53" s="173" t="s">
        <v>395</v>
      </c>
      <c r="C53" s="173" t="s">
        <v>28</v>
      </c>
      <c r="D53" s="46" t="s">
        <v>333</v>
      </c>
      <c r="E53" s="173" t="s">
        <v>334</v>
      </c>
      <c r="F53" s="185">
        <v>13945280</v>
      </c>
      <c r="G53" s="185">
        <v>13945280</v>
      </c>
      <c r="H53" s="53">
        <v>36778</v>
      </c>
      <c r="I53" s="49">
        <f>H53+35</f>
        <v>36813</v>
      </c>
      <c r="J53" s="216">
        <v>13945280</v>
      </c>
      <c r="K53" s="49">
        <f>H53+150</f>
        <v>36928</v>
      </c>
      <c r="L53" s="160">
        <v>13200000</v>
      </c>
      <c r="M53" s="209">
        <f>SUM(J53-L53)</f>
        <v>745280</v>
      </c>
      <c r="N53" s="53">
        <v>36922</v>
      </c>
    </row>
    <row r="54" spans="1:15">
      <c r="A54" s="46"/>
      <c r="B54" s="173"/>
      <c r="C54" s="173"/>
      <c r="D54" s="46"/>
      <c r="E54" s="173"/>
      <c r="F54" s="185"/>
      <c r="G54" s="257"/>
      <c r="H54" s="49"/>
      <c r="I54" s="49"/>
      <c r="J54" s="147"/>
      <c r="K54" s="49"/>
      <c r="L54" s="206"/>
      <c r="M54" s="206"/>
      <c r="N54" s="53"/>
    </row>
    <row r="55" spans="1:15" s="227" customFormat="1">
      <c r="A55" s="43">
        <v>2920</v>
      </c>
      <c r="B55" s="108" t="s">
        <v>395</v>
      </c>
      <c r="C55" s="108" t="s">
        <v>58</v>
      </c>
      <c r="D55" s="43" t="s">
        <v>354</v>
      </c>
      <c r="E55" s="108" t="s">
        <v>120</v>
      </c>
      <c r="F55" s="58">
        <v>15000000</v>
      </c>
      <c r="G55" s="159">
        <v>15000000</v>
      </c>
      <c r="H55" s="60">
        <v>36757</v>
      </c>
      <c r="I55" s="60">
        <f>H55+35</f>
        <v>36792</v>
      </c>
      <c r="J55" s="146">
        <v>15000000</v>
      </c>
      <c r="K55" s="60">
        <f>H55+150</f>
        <v>36907</v>
      </c>
      <c r="L55" s="208">
        <v>13275000</v>
      </c>
      <c r="M55" s="208">
        <f>SUM(J55-L55)</f>
        <v>1725000</v>
      </c>
      <c r="N55" s="60">
        <v>36921</v>
      </c>
      <c r="O55" s="227">
        <v>3017</v>
      </c>
    </row>
    <row r="56" spans="1:15" s="227" customFormat="1">
      <c r="A56" s="43">
        <v>2958</v>
      </c>
      <c r="B56" s="108" t="s">
        <v>395</v>
      </c>
      <c r="C56" s="108" t="s">
        <v>58</v>
      </c>
      <c r="D56" s="43" t="s">
        <v>355</v>
      </c>
      <c r="E56" s="108" t="s">
        <v>342</v>
      </c>
      <c r="F56" s="187">
        <v>13800000</v>
      </c>
      <c r="G56" s="187">
        <v>13800000</v>
      </c>
      <c r="H56" s="80">
        <v>36806</v>
      </c>
      <c r="I56" s="60">
        <f>H56+35</f>
        <v>36841</v>
      </c>
      <c r="J56" s="146">
        <v>13800000</v>
      </c>
      <c r="K56" s="60">
        <f>H56+150</f>
        <v>36956</v>
      </c>
      <c r="L56" s="159">
        <v>13200000</v>
      </c>
      <c r="M56" s="208">
        <f>SUM(J56-L56)</f>
        <v>600000</v>
      </c>
      <c r="N56" s="60">
        <v>36922</v>
      </c>
      <c r="O56" s="227">
        <v>3017</v>
      </c>
    </row>
    <row r="57" spans="1:15">
      <c r="A57" s="46"/>
      <c r="B57" s="173"/>
      <c r="C57" s="173"/>
      <c r="D57" s="46"/>
      <c r="E57" s="173"/>
      <c r="F57" s="185"/>
      <c r="G57" s="257"/>
      <c r="H57" s="49"/>
      <c r="I57" s="49"/>
      <c r="J57" s="147"/>
      <c r="K57" s="49"/>
      <c r="L57" s="206"/>
      <c r="M57" s="206"/>
      <c r="N57" s="53"/>
    </row>
    <row r="58" spans="1:15">
      <c r="A58" s="46">
        <v>2925</v>
      </c>
      <c r="B58" s="173" t="s">
        <v>395</v>
      </c>
      <c r="C58" s="173" t="s">
        <v>1</v>
      </c>
      <c r="D58" s="46" t="s">
        <v>356</v>
      </c>
      <c r="E58" s="173" t="s">
        <v>113</v>
      </c>
      <c r="F58" s="185">
        <v>15000000</v>
      </c>
      <c r="G58" s="206">
        <v>15000000</v>
      </c>
      <c r="H58" s="49">
        <v>36760</v>
      </c>
      <c r="I58" s="49">
        <f>H58+35</f>
        <v>36795</v>
      </c>
      <c r="J58" s="147">
        <v>15000000</v>
      </c>
      <c r="K58" s="49">
        <f>H58+150</f>
        <v>36910</v>
      </c>
      <c r="L58" s="206">
        <v>14280000</v>
      </c>
      <c r="M58" s="209">
        <f>SUM(J58-L58)</f>
        <v>720000</v>
      </c>
      <c r="N58" s="53">
        <v>36922</v>
      </c>
    </row>
    <row r="60" spans="1:15">
      <c r="A60" s="46">
        <v>2921</v>
      </c>
      <c r="B60" s="173" t="s">
        <v>307</v>
      </c>
      <c r="C60" s="173" t="s">
        <v>357</v>
      </c>
      <c r="D60" s="46" t="s">
        <v>358</v>
      </c>
      <c r="E60" s="173" t="s">
        <v>111</v>
      </c>
      <c r="F60" s="185">
        <v>15000000</v>
      </c>
      <c r="G60" s="206">
        <v>15000000</v>
      </c>
      <c r="H60" s="49">
        <v>36757</v>
      </c>
      <c r="I60" s="49">
        <f>H60+35</f>
        <v>36792</v>
      </c>
      <c r="J60" s="147">
        <v>15000000</v>
      </c>
      <c r="K60" s="49">
        <f>H60+150</f>
        <v>36907</v>
      </c>
      <c r="L60" s="206">
        <v>0</v>
      </c>
      <c r="M60" s="209">
        <f>SUM(J60-L60)</f>
        <v>15000000</v>
      </c>
      <c r="N60" s="53">
        <v>36925</v>
      </c>
    </row>
    <row r="61" spans="1:15">
      <c r="A61" s="46">
        <v>2933</v>
      </c>
      <c r="B61" s="173" t="s">
        <v>395</v>
      </c>
      <c r="C61" s="173" t="s">
        <v>357</v>
      </c>
      <c r="D61" s="46" t="s">
        <v>359</v>
      </c>
      <c r="E61" s="173" t="s">
        <v>111</v>
      </c>
      <c r="F61" s="185">
        <v>15000000</v>
      </c>
      <c r="G61" s="257">
        <v>15000000</v>
      </c>
      <c r="H61" s="49">
        <v>36762</v>
      </c>
      <c r="I61" s="49">
        <f>H61+35</f>
        <v>36797</v>
      </c>
      <c r="J61" s="147">
        <v>15000000</v>
      </c>
      <c r="K61" s="49">
        <f>H61+150</f>
        <v>36912</v>
      </c>
      <c r="L61" s="206">
        <v>11450000</v>
      </c>
      <c r="M61" s="209">
        <f>SUM(J61-L61)</f>
        <v>3550000</v>
      </c>
      <c r="N61" s="53">
        <v>36923</v>
      </c>
    </row>
    <row r="63" spans="1:15">
      <c r="F63" s="261">
        <f>SUM(F28:F62)</f>
        <v>339155280</v>
      </c>
      <c r="G63" s="261">
        <f>SUM(G28:G62)</f>
        <v>339155280</v>
      </c>
      <c r="J63" s="261">
        <f>SUM(J28:J62)</f>
        <v>339155280</v>
      </c>
      <c r="K63" s="262"/>
      <c r="L63" s="261">
        <f>SUM(L29:L62)</f>
        <v>224555000</v>
      </c>
      <c r="M63" s="261">
        <f>SUM(M29:M62)</f>
        <v>95690280</v>
      </c>
    </row>
  </sheetData>
  <phoneticPr fontId="6" type="noConversion"/>
  <pageMargins left="0.75" right="0.75" top="1" bottom="1" header="0.5" footer="0.5"/>
  <pageSetup paperSize="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workbookViewId="0">
      <selection activeCell="K45" sqref="K45"/>
    </sheetView>
  </sheetViews>
  <sheetFormatPr defaultRowHeight="12"/>
  <cols>
    <col min="2" max="2" width="7.85546875" bestFit="1" customWidth="1"/>
    <col min="3" max="3" width="18.7109375" bestFit="1" customWidth="1"/>
    <col min="4" max="4" width="22.28515625" bestFit="1" customWidth="1"/>
    <col min="5" max="5" width="10.28515625" bestFit="1" customWidth="1"/>
    <col min="6" max="6" width="13.140625" bestFit="1" customWidth="1"/>
    <col min="7" max="7" width="13.42578125" bestFit="1" customWidth="1"/>
    <col min="8" max="8" width="13.7109375" bestFit="1" customWidth="1"/>
    <col min="9" max="9" width="9.5703125" bestFit="1" customWidth="1"/>
    <col min="10" max="10" width="13.140625" bestFit="1" customWidth="1"/>
    <col min="12" max="12" width="13.7109375" bestFit="1" customWidth="1"/>
    <col min="13" max="13" width="16.140625" bestFit="1" customWidth="1"/>
  </cols>
  <sheetData>
    <row r="1" spans="1:14" s="43" customFormat="1">
      <c r="A1" s="319" t="s">
        <v>433</v>
      </c>
      <c r="B1" s="54"/>
      <c r="C1" s="76"/>
      <c r="D1" s="380">
        <f>SUM(Collapse!F77)</f>
        <v>130777449</v>
      </c>
      <c r="E1" s="76"/>
      <c r="F1" s="77"/>
      <c r="G1" s="77"/>
      <c r="H1" s="80"/>
      <c r="I1" s="80"/>
      <c r="J1" s="77"/>
      <c r="K1" s="80"/>
      <c r="L1" s="77"/>
      <c r="M1" s="77"/>
      <c r="N1" s="81"/>
    </row>
    <row r="2" spans="1:14" s="43" customFormat="1">
      <c r="A2" s="83" t="s">
        <v>54</v>
      </c>
      <c r="B2" s="54" t="s">
        <v>66</v>
      </c>
      <c r="C2" s="54" t="s">
        <v>52</v>
      </c>
      <c r="D2" s="76" t="s">
        <v>83</v>
      </c>
      <c r="E2" s="76" t="s">
        <v>79</v>
      </c>
      <c r="F2" s="84" t="s">
        <v>42</v>
      </c>
      <c r="G2" s="84" t="s">
        <v>625</v>
      </c>
      <c r="H2" s="53" t="s">
        <v>632</v>
      </c>
      <c r="I2" s="53" t="s">
        <v>634</v>
      </c>
      <c r="J2" s="84" t="s">
        <v>7</v>
      </c>
      <c r="K2" s="53" t="s">
        <v>640</v>
      </c>
      <c r="L2" s="84" t="s">
        <v>47</v>
      </c>
      <c r="M2" s="47" t="s">
        <v>408</v>
      </c>
      <c r="N2" s="81" t="s">
        <v>41</v>
      </c>
    </row>
    <row r="3" spans="1:14" s="43" customFormat="1">
      <c r="A3" s="83" t="s">
        <v>82</v>
      </c>
      <c r="B3" s="82"/>
      <c r="C3" s="54"/>
      <c r="D3" s="76"/>
      <c r="E3" s="76"/>
      <c r="F3" s="84" t="s">
        <v>75</v>
      </c>
      <c r="G3" s="84" t="s">
        <v>75</v>
      </c>
      <c r="H3" s="53" t="s">
        <v>14</v>
      </c>
      <c r="I3" s="53" t="s">
        <v>35</v>
      </c>
      <c r="J3" s="84" t="s">
        <v>75</v>
      </c>
      <c r="K3" s="53" t="s">
        <v>35</v>
      </c>
      <c r="L3" s="84" t="s">
        <v>75</v>
      </c>
      <c r="M3" s="47" t="s">
        <v>409</v>
      </c>
      <c r="N3" s="81" t="s">
        <v>8</v>
      </c>
    </row>
    <row r="4" spans="1:14" s="43" customFormat="1" ht="12.75" thickBot="1">
      <c r="A4" s="98" t="s">
        <v>32</v>
      </c>
      <c r="B4" s="99"/>
      <c r="C4" s="85"/>
      <c r="D4" s="100"/>
      <c r="E4" s="100"/>
      <c r="F4" s="137"/>
      <c r="G4" s="137"/>
      <c r="H4" s="101"/>
      <c r="I4" s="101"/>
      <c r="J4" s="137"/>
      <c r="K4" s="101"/>
      <c r="L4" s="137"/>
      <c r="M4" s="137"/>
      <c r="N4" s="102" t="s">
        <v>14</v>
      </c>
    </row>
    <row r="5" spans="1:14" s="43" customFormat="1">
      <c r="A5" s="75" t="s">
        <v>90</v>
      </c>
      <c r="B5" s="82"/>
      <c r="C5" s="54"/>
      <c r="D5" s="76"/>
      <c r="E5" s="76"/>
      <c r="F5" s="84"/>
      <c r="G5" s="84"/>
      <c r="H5" s="53"/>
      <c r="I5" s="53"/>
      <c r="J5" s="84"/>
      <c r="K5" s="53"/>
      <c r="L5" s="84"/>
      <c r="M5" s="84"/>
      <c r="N5" s="53"/>
    </row>
    <row r="6" spans="1:14" s="46" customFormat="1">
      <c r="A6" s="75" t="s">
        <v>639</v>
      </c>
      <c r="B6" s="54" t="s">
        <v>308</v>
      </c>
      <c r="C6" s="117" t="s">
        <v>602</v>
      </c>
      <c r="D6" s="287" t="s">
        <v>603</v>
      </c>
      <c r="E6" s="287" t="s">
        <v>604</v>
      </c>
      <c r="F6" s="84">
        <v>45000000</v>
      </c>
      <c r="G6" s="84">
        <v>45000000</v>
      </c>
      <c r="H6" s="53">
        <v>37275</v>
      </c>
      <c r="I6" s="53">
        <f>SUM(H6+7)</f>
        <v>37282</v>
      </c>
      <c r="J6" s="84">
        <v>45000000</v>
      </c>
      <c r="K6" s="53">
        <v>38351</v>
      </c>
      <c r="L6" s="84"/>
      <c r="M6" s="84"/>
      <c r="N6" s="53"/>
    </row>
    <row r="7" spans="1:14" s="43" customFormat="1">
      <c r="A7" s="75" t="s">
        <v>641</v>
      </c>
      <c r="B7" s="54" t="s">
        <v>308</v>
      </c>
      <c r="C7" s="117" t="s">
        <v>602</v>
      </c>
      <c r="D7" s="287" t="s">
        <v>606</v>
      </c>
      <c r="E7" s="287" t="s">
        <v>605</v>
      </c>
      <c r="F7" s="84">
        <v>3000000</v>
      </c>
      <c r="G7" s="84">
        <v>3000000</v>
      </c>
      <c r="H7" s="53">
        <v>37275</v>
      </c>
      <c r="I7" s="53">
        <f>SUM(H7+7)</f>
        <v>37282</v>
      </c>
      <c r="J7" s="84">
        <v>3000000</v>
      </c>
      <c r="K7" s="53">
        <v>38351</v>
      </c>
      <c r="L7" s="84"/>
      <c r="M7" s="84"/>
      <c r="N7" s="53"/>
    </row>
    <row r="8" spans="1:14" s="43" customFormat="1">
      <c r="A8" s="75" t="s">
        <v>642</v>
      </c>
      <c r="B8" s="54" t="s">
        <v>308</v>
      </c>
      <c r="C8" s="117" t="s">
        <v>602</v>
      </c>
      <c r="D8" s="287" t="s">
        <v>607</v>
      </c>
      <c r="E8" s="287" t="s">
        <v>609</v>
      </c>
      <c r="F8" s="84">
        <v>2000000</v>
      </c>
      <c r="G8" s="84">
        <v>2000000</v>
      </c>
      <c r="H8" s="53">
        <v>37275</v>
      </c>
      <c r="I8" s="53">
        <f>SUM(H8+7)</f>
        <v>37282</v>
      </c>
      <c r="J8" s="84">
        <v>2000000</v>
      </c>
      <c r="K8" s="53">
        <v>38351</v>
      </c>
      <c r="L8" s="84"/>
      <c r="M8" s="84"/>
      <c r="N8" s="53"/>
    </row>
    <row r="9" spans="1:14" s="43" customFormat="1">
      <c r="A9" s="75" t="s">
        <v>643</v>
      </c>
      <c r="B9" s="54" t="s">
        <v>308</v>
      </c>
      <c r="C9" s="54" t="s">
        <v>526</v>
      </c>
      <c r="D9" s="287" t="s">
        <v>608</v>
      </c>
      <c r="E9" s="287" t="s">
        <v>593</v>
      </c>
      <c r="F9" s="84">
        <v>50000000</v>
      </c>
      <c r="G9" s="84">
        <v>50000000</v>
      </c>
      <c r="H9" s="53">
        <v>37275</v>
      </c>
      <c r="I9" s="53">
        <f>SUM(H9+7)</f>
        <v>37282</v>
      </c>
      <c r="J9" s="84">
        <v>50000000</v>
      </c>
      <c r="K9" s="53">
        <v>38351</v>
      </c>
      <c r="L9" s="84"/>
      <c r="M9" s="84"/>
      <c r="N9" s="53"/>
    </row>
    <row r="10" spans="1:14" s="43" customFormat="1">
      <c r="A10" s="75" t="s">
        <v>644</v>
      </c>
      <c r="B10" s="54" t="s">
        <v>308</v>
      </c>
      <c r="C10" s="46" t="s">
        <v>614</v>
      </c>
      <c r="D10" s="173" t="s">
        <v>615</v>
      </c>
      <c r="E10" s="173" t="s">
        <v>546</v>
      </c>
      <c r="F10" s="84">
        <v>50000000</v>
      </c>
      <c r="G10" s="84">
        <v>30777449</v>
      </c>
      <c r="H10" s="53">
        <v>37275</v>
      </c>
      <c r="I10" s="53">
        <f>SUM(H10+7)</f>
        <v>37282</v>
      </c>
      <c r="J10" s="84">
        <v>30777449</v>
      </c>
      <c r="K10" s="53">
        <v>38351</v>
      </c>
      <c r="L10" s="84"/>
      <c r="M10" s="84"/>
      <c r="N10" s="53"/>
    </row>
    <row r="11" spans="1:14" s="43" customFormat="1">
      <c r="A11" s="75"/>
      <c r="B11" s="82"/>
      <c r="C11" s="392" t="s">
        <v>165</v>
      </c>
      <c r="D11" s="76"/>
      <c r="E11" s="315" t="s">
        <v>645</v>
      </c>
      <c r="F11" s="383">
        <v>50000000</v>
      </c>
      <c r="G11" s="84"/>
      <c r="H11" s="53"/>
      <c r="I11" s="53"/>
      <c r="J11" s="84"/>
      <c r="K11" s="53"/>
      <c r="L11" s="84"/>
      <c r="M11" s="84"/>
      <c r="N11" s="53"/>
    </row>
    <row r="12" spans="1:14" s="227" customFormat="1">
      <c r="A12" s="226"/>
      <c r="E12" s="228"/>
      <c r="F12" s="384">
        <f>SUM(F6:F11)</f>
        <v>200000000</v>
      </c>
      <c r="G12" s="384">
        <f>SUM(G6:G10)</f>
        <v>130777449</v>
      </c>
    </row>
    <row r="13" spans="1:14" s="43" customFormat="1" ht="12.75" thickBot="1">
      <c r="A13" s="318" t="s">
        <v>623</v>
      </c>
      <c r="B13" s="99"/>
      <c r="C13" s="85"/>
      <c r="D13" s="288"/>
      <c r="E13" s="288"/>
      <c r="F13" s="241"/>
      <c r="G13" s="137"/>
      <c r="H13" s="101"/>
      <c r="I13" s="101"/>
      <c r="J13" s="137"/>
      <c r="K13" s="101"/>
      <c r="L13" s="137"/>
      <c r="M13" s="137"/>
      <c r="N13" s="101"/>
    </row>
    <row r="14" spans="1:14" s="43" customFormat="1">
      <c r="A14" s="83" t="s">
        <v>54</v>
      </c>
      <c r="B14" s="54" t="s">
        <v>66</v>
      </c>
      <c r="C14" s="54" t="s">
        <v>52</v>
      </c>
      <c r="D14" s="287" t="s">
        <v>83</v>
      </c>
      <c r="E14" s="287" t="s">
        <v>79</v>
      </c>
      <c r="F14" s="206" t="s">
        <v>42</v>
      </c>
      <c r="G14" s="84" t="s">
        <v>13</v>
      </c>
      <c r="H14" s="53" t="s">
        <v>426</v>
      </c>
      <c r="I14" s="53" t="s">
        <v>56</v>
      </c>
      <c r="J14" s="84" t="s">
        <v>7</v>
      </c>
      <c r="K14" s="53"/>
      <c r="L14" s="84" t="s">
        <v>47</v>
      </c>
      <c r="M14" s="47" t="s">
        <v>408</v>
      </c>
      <c r="N14" s="81" t="s">
        <v>41</v>
      </c>
    </row>
    <row r="15" spans="1:14" s="43" customFormat="1">
      <c r="A15" s="83" t="s">
        <v>82</v>
      </c>
      <c r="B15" s="82"/>
      <c r="C15" s="54"/>
      <c r="D15" s="287"/>
      <c r="E15" s="287"/>
      <c r="F15" s="206" t="s">
        <v>75</v>
      </c>
      <c r="G15" s="84" t="s">
        <v>75</v>
      </c>
      <c r="H15" s="53" t="s">
        <v>14</v>
      </c>
      <c r="I15" s="53" t="s">
        <v>35</v>
      </c>
      <c r="J15" s="84" t="s">
        <v>75</v>
      </c>
      <c r="K15" s="53" t="s">
        <v>35</v>
      </c>
      <c r="L15" s="84" t="s">
        <v>75</v>
      </c>
      <c r="M15" s="76" t="s">
        <v>479</v>
      </c>
      <c r="N15" s="81" t="s">
        <v>8</v>
      </c>
    </row>
    <row r="16" spans="1:14" ht="12.75" thickBot="1">
      <c r="A16" s="98" t="s">
        <v>32</v>
      </c>
      <c r="B16" s="99"/>
      <c r="C16" s="85"/>
      <c r="D16" s="288"/>
      <c r="E16" s="288"/>
      <c r="F16" s="241"/>
      <c r="G16" s="137"/>
      <c r="H16" s="101"/>
      <c r="I16" s="101"/>
      <c r="J16" s="137"/>
      <c r="K16" s="101"/>
      <c r="L16" s="137"/>
      <c r="M16" s="100"/>
      <c r="N16" s="102" t="s">
        <v>14</v>
      </c>
    </row>
    <row r="17" spans="1:14" s="227" customFormat="1">
      <c r="F17" s="229"/>
      <c r="G17" s="229"/>
    </row>
    <row r="18" spans="1:14" s="227" customFormat="1">
      <c r="A18" s="325">
        <v>3071</v>
      </c>
      <c r="B18" s="117" t="s">
        <v>308</v>
      </c>
      <c r="C18" s="46" t="s">
        <v>165</v>
      </c>
      <c r="D18" s="117" t="s">
        <v>261</v>
      </c>
      <c r="E18" s="117" t="s">
        <v>61</v>
      </c>
      <c r="F18" s="206">
        <v>14600000</v>
      </c>
      <c r="G18" s="206">
        <v>14600000</v>
      </c>
      <c r="H18" s="339">
        <v>37120</v>
      </c>
      <c r="I18" s="349">
        <f>SUM(H18+35)</f>
        <v>37155</v>
      </c>
      <c r="J18" s="206">
        <v>14600000</v>
      </c>
      <c r="K18" s="349">
        <f>SUM(H18+150)</f>
        <v>37270</v>
      </c>
      <c r="L18" s="206"/>
      <c r="M18" s="160"/>
      <c r="N18" s="49"/>
    </row>
    <row r="19" spans="1:14" s="227" customFormat="1">
      <c r="A19" s="141">
        <v>3073</v>
      </c>
      <c r="B19" s="46" t="s">
        <v>308</v>
      </c>
      <c r="C19" s="46" t="s">
        <v>100</v>
      </c>
      <c r="D19" s="46" t="s">
        <v>442</v>
      </c>
      <c r="E19" s="46"/>
      <c r="F19" s="206">
        <v>7685000</v>
      </c>
      <c r="G19" s="206">
        <v>7685000</v>
      </c>
      <c r="H19" s="283">
        <v>37124</v>
      </c>
      <c r="I19" s="52">
        <f>H19+35</f>
        <v>37159</v>
      </c>
      <c r="J19" s="206">
        <v>7685000</v>
      </c>
      <c r="K19" s="52">
        <f>H19+180</f>
        <v>37304</v>
      </c>
      <c r="L19" s="46"/>
      <c r="M19" s="46"/>
      <c r="N19" s="46"/>
    </row>
    <row r="20" spans="1:14" s="227" customFormat="1">
      <c r="A20" s="141">
        <v>3074</v>
      </c>
      <c r="B20" s="46" t="s">
        <v>308</v>
      </c>
      <c r="C20" s="46" t="s">
        <v>229</v>
      </c>
      <c r="D20" s="46" t="s">
        <v>442</v>
      </c>
      <c r="E20" s="46" t="s">
        <v>330</v>
      </c>
      <c r="F20" s="206">
        <v>3714000</v>
      </c>
      <c r="G20" s="206">
        <v>3714000</v>
      </c>
      <c r="H20" s="283">
        <v>37125</v>
      </c>
      <c r="I20" s="52">
        <f>H20+35</f>
        <v>37160</v>
      </c>
      <c r="J20" s="206">
        <v>3714000</v>
      </c>
      <c r="K20" s="52">
        <f>H20+180</f>
        <v>37305</v>
      </c>
      <c r="L20" s="46"/>
      <c r="M20" s="46"/>
      <c r="N20" s="46"/>
    </row>
    <row r="21" spans="1:14" s="227" customFormat="1">
      <c r="A21" s="141">
        <v>3075</v>
      </c>
      <c r="B21" s="46" t="s">
        <v>308</v>
      </c>
      <c r="C21" s="46" t="s">
        <v>524</v>
      </c>
      <c r="D21" s="46" t="s">
        <v>442</v>
      </c>
      <c r="E21" s="46"/>
      <c r="F21" s="206">
        <v>1230000</v>
      </c>
      <c r="G21" s="206">
        <v>1230000</v>
      </c>
      <c r="H21" s="283">
        <v>37125</v>
      </c>
      <c r="I21" s="52">
        <f>H21+35</f>
        <v>37160</v>
      </c>
      <c r="J21" s="206">
        <v>1230000</v>
      </c>
      <c r="K21" s="52">
        <f>H21+180</f>
        <v>37305</v>
      </c>
      <c r="L21" s="46"/>
      <c r="M21" s="46"/>
      <c r="N21" s="46"/>
    </row>
    <row r="22" spans="1:14" s="227" customFormat="1">
      <c r="A22" s="141">
        <v>3076</v>
      </c>
      <c r="B22" s="46" t="s">
        <v>308</v>
      </c>
      <c r="C22" s="46" t="s">
        <v>1</v>
      </c>
      <c r="D22" s="46" t="s">
        <v>441</v>
      </c>
      <c r="E22" s="46"/>
      <c r="F22" s="206">
        <v>25000000</v>
      </c>
      <c r="G22" s="206">
        <v>25000000</v>
      </c>
      <c r="H22" s="283">
        <v>37126</v>
      </c>
      <c r="I22" s="52">
        <f>H22+35</f>
        <v>37161</v>
      </c>
      <c r="J22" s="206">
        <v>25000000</v>
      </c>
      <c r="K22" s="52">
        <f>H22+180</f>
        <v>37306</v>
      </c>
      <c r="L22" s="46"/>
      <c r="M22" s="46"/>
      <c r="N22" s="46"/>
    </row>
    <row r="23" spans="1:14" s="227" customFormat="1">
      <c r="A23" s="141">
        <v>3078</v>
      </c>
      <c r="B23" s="46" t="s">
        <v>308</v>
      </c>
      <c r="C23" s="46" t="s">
        <v>165</v>
      </c>
      <c r="D23" s="255" t="s">
        <v>382</v>
      </c>
      <c r="E23" s="255" t="s">
        <v>383</v>
      </c>
      <c r="F23" s="260">
        <v>14600000</v>
      </c>
      <c r="G23" s="260">
        <v>14600000</v>
      </c>
      <c r="H23" s="52">
        <v>37133</v>
      </c>
      <c r="I23" s="349">
        <f t="shared" ref="I23:I40" si="0">SUM(H23+35)</f>
        <v>37168</v>
      </c>
      <c r="J23" s="160">
        <v>14600000</v>
      </c>
      <c r="K23" s="349">
        <f>SUM(H23+150)</f>
        <v>37283</v>
      </c>
      <c r="L23" s="46"/>
      <c r="M23" s="46"/>
      <c r="N23" s="46"/>
    </row>
    <row r="24" spans="1:14">
      <c r="A24" s="141">
        <v>3079</v>
      </c>
      <c r="B24" s="46" t="s">
        <v>308</v>
      </c>
      <c r="C24" s="46" t="s">
        <v>159</v>
      </c>
      <c r="D24" s="46" t="s">
        <v>160</v>
      </c>
      <c r="E24" s="46" t="s">
        <v>161</v>
      </c>
      <c r="F24" s="186">
        <v>7855000</v>
      </c>
      <c r="G24" s="186">
        <v>7855000</v>
      </c>
      <c r="H24" s="52">
        <v>37133</v>
      </c>
      <c r="I24" s="349">
        <f t="shared" si="0"/>
        <v>37168</v>
      </c>
      <c r="J24" s="160">
        <v>7855000</v>
      </c>
      <c r="K24" s="349">
        <f>SUM(H24+150)</f>
        <v>37283</v>
      </c>
      <c r="L24" s="46"/>
      <c r="M24" s="46"/>
      <c r="N24" s="46"/>
    </row>
    <row r="25" spans="1:14">
      <c r="A25" s="141">
        <v>3085</v>
      </c>
      <c r="B25" s="46" t="s">
        <v>308</v>
      </c>
      <c r="C25" s="46" t="s">
        <v>58</v>
      </c>
      <c r="D25" s="46" t="s">
        <v>273</v>
      </c>
      <c r="E25" s="46" t="s">
        <v>342</v>
      </c>
      <c r="F25" s="185">
        <v>12500000</v>
      </c>
      <c r="G25" s="185">
        <v>12500000</v>
      </c>
      <c r="H25" s="52">
        <v>37161</v>
      </c>
      <c r="I25" s="349">
        <f t="shared" si="0"/>
        <v>37196</v>
      </c>
      <c r="J25" s="160">
        <v>12500000</v>
      </c>
      <c r="K25" s="349">
        <f>SUM(H25+150)</f>
        <v>37311</v>
      </c>
      <c r="L25" s="46"/>
      <c r="M25" s="46"/>
      <c r="N25" s="46"/>
    </row>
    <row r="26" spans="1:14">
      <c r="A26" s="141">
        <v>3087</v>
      </c>
      <c r="B26" s="46" t="s">
        <v>308</v>
      </c>
      <c r="C26" s="46" t="s">
        <v>165</v>
      </c>
      <c r="D26" s="46" t="s">
        <v>551</v>
      </c>
      <c r="E26" s="173" t="s">
        <v>61</v>
      </c>
      <c r="F26" s="206">
        <v>11000000</v>
      </c>
      <c r="G26" s="206">
        <v>11000000</v>
      </c>
      <c r="H26" s="283">
        <v>37168</v>
      </c>
      <c r="I26" s="349">
        <f t="shared" si="0"/>
        <v>37203</v>
      </c>
      <c r="J26" s="206">
        <v>11000000</v>
      </c>
      <c r="K26" s="349">
        <f>SUM(H26+150)</f>
        <v>37318</v>
      </c>
      <c r="L26" s="46"/>
      <c r="M26" s="377"/>
      <c r="N26" s="46"/>
    </row>
    <row r="27" spans="1:14">
      <c r="A27" s="141">
        <v>3088</v>
      </c>
      <c r="B27" s="46" t="s">
        <v>308</v>
      </c>
      <c r="C27" s="46" t="s">
        <v>165</v>
      </c>
      <c r="D27" s="46" t="s">
        <v>547</v>
      </c>
      <c r="E27" s="173" t="s">
        <v>379</v>
      </c>
      <c r="F27" s="206">
        <v>15000000</v>
      </c>
      <c r="G27" s="206">
        <v>15000000</v>
      </c>
      <c r="H27" s="283">
        <v>37168</v>
      </c>
      <c r="I27" s="349">
        <f t="shared" si="0"/>
        <v>37203</v>
      </c>
      <c r="J27" s="206">
        <v>15000000</v>
      </c>
      <c r="K27" s="349">
        <f>SUM(H27+150)</f>
        <v>37318</v>
      </c>
      <c r="L27" s="46"/>
      <c r="M27" s="46"/>
      <c r="N27" s="46"/>
    </row>
    <row r="28" spans="1:14">
      <c r="A28" s="141">
        <v>3090</v>
      </c>
      <c r="B28" s="46" t="s">
        <v>308</v>
      </c>
      <c r="C28" s="46" t="s">
        <v>290</v>
      </c>
      <c r="D28" s="46" t="s">
        <v>291</v>
      </c>
      <c r="E28" s="173" t="s">
        <v>549</v>
      </c>
      <c r="F28" s="206">
        <v>25000000</v>
      </c>
      <c r="G28" s="206">
        <v>25000000</v>
      </c>
      <c r="H28" s="52">
        <v>37173</v>
      </c>
      <c r="I28" s="349">
        <f t="shared" si="0"/>
        <v>37208</v>
      </c>
      <c r="J28" s="160">
        <v>25000000</v>
      </c>
      <c r="K28" s="266">
        <f>SUM(H28+120)</f>
        <v>37293</v>
      </c>
      <c r="L28" s="46"/>
      <c r="M28" s="46"/>
      <c r="N28" s="46"/>
    </row>
    <row r="29" spans="1:14">
      <c r="A29" s="141">
        <v>3091</v>
      </c>
      <c r="B29" s="46" t="s">
        <v>308</v>
      </c>
      <c r="C29" s="46" t="s">
        <v>58</v>
      </c>
      <c r="D29" s="46" t="s">
        <v>550</v>
      </c>
      <c r="E29" s="46" t="s">
        <v>342</v>
      </c>
      <c r="F29" s="206">
        <v>15000000</v>
      </c>
      <c r="G29" s="206">
        <v>15000000</v>
      </c>
      <c r="H29" s="52">
        <v>37174</v>
      </c>
      <c r="I29" s="349">
        <f t="shared" si="0"/>
        <v>37209</v>
      </c>
      <c r="J29" s="160">
        <v>15000000</v>
      </c>
      <c r="K29" s="349">
        <f>SUM(H29+150)</f>
        <v>37324</v>
      </c>
      <c r="L29" s="46"/>
      <c r="M29" s="46"/>
      <c r="N29" s="46"/>
    </row>
    <row r="30" spans="1:14">
      <c r="A30" s="141">
        <v>3092</v>
      </c>
      <c r="B30" s="46" t="s">
        <v>308</v>
      </c>
      <c r="C30" s="46" t="s">
        <v>77</v>
      </c>
      <c r="D30" s="46" t="s">
        <v>567</v>
      </c>
      <c r="E30" s="173" t="s">
        <v>61</v>
      </c>
      <c r="F30" s="206">
        <v>8000000</v>
      </c>
      <c r="G30" s="206">
        <v>8000000</v>
      </c>
      <c r="H30" s="52">
        <v>37176</v>
      </c>
      <c r="I30" s="349">
        <f t="shared" si="0"/>
        <v>37211</v>
      </c>
      <c r="J30" s="206">
        <v>8000000</v>
      </c>
      <c r="K30" s="349">
        <f>SUM(H30+150)</f>
        <v>37326</v>
      </c>
      <c r="L30" s="46"/>
      <c r="M30" s="46"/>
      <c r="N30" s="46"/>
    </row>
    <row r="31" spans="1:14">
      <c r="A31" s="141">
        <v>3093</v>
      </c>
      <c r="B31" s="46" t="s">
        <v>308</v>
      </c>
      <c r="C31" s="46" t="s">
        <v>58</v>
      </c>
      <c r="D31" s="46" t="s">
        <v>568</v>
      </c>
      <c r="E31" s="173" t="s">
        <v>342</v>
      </c>
      <c r="F31" s="206">
        <v>15000000</v>
      </c>
      <c r="G31" s="206">
        <v>15000000</v>
      </c>
      <c r="H31" s="52">
        <v>37182</v>
      </c>
      <c r="I31" s="349">
        <f t="shared" si="0"/>
        <v>37217</v>
      </c>
      <c r="J31" s="160">
        <v>15000000</v>
      </c>
      <c r="K31" s="349">
        <f>SUM(H31+150)</f>
        <v>37332</v>
      </c>
      <c r="L31" s="46"/>
      <c r="M31" s="46"/>
      <c r="N31" s="46"/>
    </row>
    <row r="32" spans="1:14">
      <c r="A32" s="141">
        <v>3096</v>
      </c>
      <c r="B32" s="46" t="s">
        <v>308</v>
      </c>
      <c r="C32" s="46" t="s">
        <v>77</v>
      </c>
      <c r="D32" s="46" t="s">
        <v>579</v>
      </c>
      <c r="E32" s="173" t="s">
        <v>529</v>
      </c>
      <c r="F32" s="206">
        <v>13000000</v>
      </c>
      <c r="G32" s="206">
        <v>13000000</v>
      </c>
      <c r="H32" s="52">
        <v>37184</v>
      </c>
      <c r="I32" s="349">
        <f t="shared" si="0"/>
        <v>37219</v>
      </c>
      <c r="J32" s="206">
        <v>13000000</v>
      </c>
      <c r="K32" s="349">
        <f>SUM(H32+150)</f>
        <v>37334</v>
      </c>
      <c r="L32" s="46"/>
      <c r="M32" s="46"/>
      <c r="N32" s="46"/>
    </row>
    <row r="33" spans="1:14">
      <c r="A33" s="141">
        <v>3100</v>
      </c>
      <c r="B33" s="46" t="s">
        <v>308</v>
      </c>
      <c r="C33" s="46" t="s">
        <v>584</v>
      </c>
      <c r="D33" s="46" t="s">
        <v>591</v>
      </c>
      <c r="E33" s="173" t="s">
        <v>585</v>
      </c>
      <c r="F33" s="206">
        <v>5500000</v>
      </c>
      <c r="G33" s="206">
        <v>5500000</v>
      </c>
      <c r="H33" s="52">
        <v>37208</v>
      </c>
      <c r="I33" s="266">
        <f t="shared" si="0"/>
        <v>37243</v>
      </c>
      <c r="J33" s="206">
        <v>5500000</v>
      </c>
      <c r="K33" s="266">
        <f>SUM(H33+120)</f>
        <v>37328</v>
      </c>
      <c r="L33" s="46"/>
      <c r="M33" s="46"/>
      <c r="N33" s="46"/>
    </row>
    <row r="34" spans="1:14">
      <c r="A34" s="141">
        <v>3097</v>
      </c>
      <c r="B34" s="46" t="s">
        <v>308</v>
      </c>
      <c r="C34" s="46" t="s">
        <v>15</v>
      </c>
      <c r="D34" s="46" t="s">
        <v>586</v>
      </c>
      <c r="E34" s="173" t="s">
        <v>61</v>
      </c>
      <c r="F34" s="206">
        <v>10000000</v>
      </c>
      <c r="G34" s="206">
        <v>10000000</v>
      </c>
      <c r="H34" s="52">
        <v>37203</v>
      </c>
      <c r="I34" s="349">
        <f t="shared" si="0"/>
        <v>37238</v>
      </c>
      <c r="J34" s="160">
        <v>10000000</v>
      </c>
      <c r="K34" s="349">
        <f>SUM(H34+150)</f>
        <v>37353</v>
      </c>
      <c r="L34" s="46"/>
      <c r="M34" s="46"/>
      <c r="N34" s="46"/>
    </row>
    <row r="35" spans="1:14">
      <c r="A35" s="141">
        <v>3104</v>
      </c>
      <c r="B35" s="46" t="s">
        <v>308</v>
      </c>
      <c r="C35" s="46" t="s">
        <v>58</v>
      </c>
      <c r="D35" s="46" t="s">
        <v>587</v>
      </c>
      <c r="E35" s="173" t="s">
        <v>342</v>
      </c>
      <c r="F35" s="206">
        <v>15000000</v>
      </c>
      <c r="G35" s="206">
        <v>15000000</v>
      </c>
      <c r="H35" s="52">
        <v>37210</v>
      </c>
      <c r="I35" s="349">
        <f t="shared" si="0"/>
        <v>37245</v>
      </c>
      <c r="J35" s="206">
        <v>15000000</v>
      </c>
      <c r="K35" s="349">
        <f>SUM(H35+150)</f>
        <v>37360</v>
      </c>
      <c r="L35" s="46"/>
      <c r="M35" s="378"/>
      <c r="N35" s="46"/>
    </row>
    <row r="36" spans="1:14">
      <c r="A36" s="141">
        <v>3098</v>
      </c>
      <c r="B36" s="46" t="s">
        <v>308</v>
      </c>
      <c r="C36" s="46" t="s">
        <v>588</v>
      </c>
      <c r="D36" s="46" t="s">
        <v>589</v>
      </c>
      <c r="E36" s="173" t="s">
        <v>590</v>
      </c>
      <c r="F36" s="206">
        <v>15000000</v>
      </c>
      <c r="G36" s="206">
        <v>15000000</v>
      </c>
      <c r="H36" s="52">
        <v>37203</v>
      </c>
      <c r="I36" s="349">
        <f t="shared" si="0"/>
        <v>37238</v>
      </c>
      <c r="J36" s="160">
        <v>15000000</v>
      </c>
      <c r="K36" s="349">
        <f>SUM(H36+150)</f>
        <v>37353</v>
      </c>
      <c r="L36" s="46"/>
      <c r="M36" s="46"/>
      <c r="N36" s="46"/>
    </row>
    <row r="37" spans="1:14">
      <c r="A37" s="141">
        <v>3101</v>
      </c>
      <c r="B37" s="46" t="s">
        <v>308</v>
      </c>
      <c r="C37" s="46" t="s">
        <v>526</v>
      </c>
      <c r="D37" s="46" t="s">
        <v>592</v>
      </c>
      <c r="E37" s="173" t="s">
        <v>593</v>
      </c>
      <c r="F37" s="206">
        <v>50000000</v>
      </c>
      <c r="G37" s="206">
        <v>50000000</v>
      </c>
      <c r="H37" s="52">
        <v>37208</v>
      </c>
      <c r="I37" s="266">
        <f t="shared" si="0"/>
        <v>37243</v>
      </c>
      <c r="J37" s="206">
        <v>50000000</v>
      </c>
      <c r="K37" s="266">
        <f>SUM(H37+120)</f>
        <v>37328</v>
      </c>
      <c r="L37" s="46"/>
      <c r="M37" s="46"/>
      <c r="N37" s="46"/>
    </row>
    <row r="38" spans="1:14">
      <c r="A38" s="141">
        <v>3103</v>
      </c>
      <c r="B38" s="46" t="s">
        <v>308</v>
      </c>
      <c r="C38" s="46" t="s">
        <v>28</v>
      </c>
      <c r="D38" s="46" t="s">
        <v>594</v>
      </c>
      <c r="E38" s="173" t="s">
        <v>531</v>
      </c>
      <c r="F38" s="206">
        <v>13250000</v>
      </c>
      <c r="G38" s="206">
        <v>13250000</v>
      </c>
      <c r="H38" s="52">
        <v>37210</v>
      </c>
      <c r="I38" s="349">
        <f t="shared" si="0"/>
        <v>37245</v>
      </c>
      <c r="J38" s="160">
        <v>13250000</v>
      </c>
      <c r="K38" s="349">
        <f>SUM(H38+150)</f>
        <v>37360</v>
      </c>
      <c r="L38" s="160"/>
      <c r="M38" s="46"/>
      <c r="N38" s="46"/>
    </row>
    <row r="39" spans="1:14">
      <c r="A39" s="141">
        <v>3118</v>
      </c>
      <c r="B39" s="46" t="s">
        <v>308</v>
      </c>
      <c r="C39" s="46" t="s">
        <v>598</v>
      </c>
      <c r="D39" s="46" t="s">
        <v>597</v>
      </c>
      <c r="E39" s="173" t="s">
        <v>492</v>
      </c>
      <c r="F39" s="206">
        <v>15000000</v>
      </c>
      <c r="G39" s="206">
        <v>15000000</v>
      </c>
      <c r="H39" s="52">
        <v>37216</v>
      </c>
      <c r="I39" s="349">
        <f t="shared" si="0"/>
        <v>37251</v>
      </c>
      <c r="J39" s="206">
        <v>15000000</v>
      </c>
      <c r="K39" s="349">
        <f>SUM(H39+150)</f>
        <v>37366</v>
      </c>
      <c r="L39" s="46"/>
      <c r="M39" s="46"/>
      <c r="N39" s="46"/>
    </row>
    <row r="40" spans="1:14">
      <c r="A40" s="141">
        <v>3119</v>
      </c>
      <c r="B40" s="46" t="s">
        <v>308</v>
      </c>
      <c r="C40" s="46" t="s">
        <v>15</v>
      </c>
      <c r="D40" s="46" t="s">
        <v>243</v>
      </c>
      <c r="E40" s="173" t="s">
        <v>61</v>
      </c>
      <c r="F40" s="206">
        <v>15000000</v>
      </c>
      <c r="G40" s="206">
        <v>15000000</v>
      </c>
      <c r="H40" s="52">
        <v>37217</v>
      </c>
      <c r="I40" s="349">
        <f t="shared" si="0"/>
        <v>37252</v>
      </c>
      <c r="J40" s="160">
        <v>15000000</v>
      </c>
      <c r="K40" s="349">
        <f>SUM(H40+150)</f>
        <v>37367</v>
      </c>
      <c r="L40" s="46"/>
      <c r="M40" s="46"/>
      <c r="N40" s="46"/>
    </row>
    <row r="41" spans="1:14">
      <c r="A41" s="141">
        <v>3106</v>
      </c>
      <c r="B41" s="46" t="s">
        <v>308</v>
      </c>
      <c r="C41" s="46" t="s">
        <v>229</v>
      </c>
      <c r="D41" s="46" t="s">
        <v>599</v>
      </c>
      <c r="E41" s="173" t="s">
        <v>600</v>
      </c>
      <c r="F41" s="206">
        <v>7945000</v>
      </c>
      <c r="G41" s="206">
        <v>7945000</v>
      </c>
      <c r="H41" s="52">
        <v>37211</v>
      </c>
      <c r="I41" s="349">
        <f>SUM(H41+35)</f>
        <v>37246</v>
      </c>
      <c r="J41" s="206">
        <v>7945000</v>
      </c>
      <c r="K41" s="349">
        <f t="shared" ref="K41:K46" si="1">SUM(H41+150)</f>
        <v>37361</v>
      </c>
      <c r="L41" s="46"/>
      <c r="M41" s="46"/>
      <c r="N41" s="46"/>
    </row>
    <row r="42" spans="1:14">
      <c r="A42" s="141">
        <v>3107</v>
      </c>
      <c r="B42" s="46" t="s">
        <v>308</v>
      </c>
      <c r="C42" s="46" t="s">
        <v>165</v>
      </c>
      <c r="D42" s="46" t="s">
        <v>601</v>
      </c>
      <c r="E42" s="173" t="s">
        <v>348</v>
      </c>
      <c r="F42" s="206">
        <v>10500000</v>
      </c>
      <c r="G42" s="206">
        <v>10500000</v>
      </c>
      <c r="H42" s="52">
        <v>37212</v>
      </c>
      <c r="I42" s="349">
        <f>SUM(H42+35)</f>
        <v>37247</v>
      </c>
      <c r="J42" s="206">
        <v>10500000</v>
      </c>
      <c r="K42" s="349">
        <f t="shared" si="1"/>
        <v>37362</v>
      </c>
      <c r="L42" s="46"/>
      <c r="M42" s="46"/>
      <c r="N42" s="46"/>
    </row>
    <row r="43" spans="1:14">
      <c r="A43" s="141">
        <v>3117</v>
      </c>
      <c r="B43" s="46" t="s">
        <v>308</v>
      </c>
      <c r="C43" s="46" t="s">
        <v>165</v>
      </c>
      <c r="D43" s="46" t="s">
        <v>520</v>
      </c>
      <c r="E43" s="173" t="s">
        <v>516</v>
      </c>
      <c r="F43" s="206">
        <v>10000000</v>
      </c>
      <c r="G43" s="206">
        <v>10000000</v>
      </c>
      <c r="H43" s="52">
        <v>37215</v>
      </c>
      <c r="I43" s="349">
        <f>SUM(H43+35)</f>
        <v>37250</v>
      </c>
      <c r="J43" s="206">
        <v>10000000</v>
      </c>
      <c r="K43" s="349">
        <f t="shared" si="1"/>
        <v>37365</v>
      </c>
      <c r="L43" s="46"/>
      <c r="M43" s="46"/>
      <c r="N43" s="46"/>
    </row>
    <row r="44" spans="1:14">
      <c r="A44" s="141">
        <v>3108</v>
      </c>
      <c r="B44" s="46" t="s">
        <v>308</v>
      </c>
      <c r="C44" s="46" t="s">
        <v>60</v>
      </c>
      <c r="D44" s="46" t="s">
        <v>611</v>
      </c>
      <c r="E44" s="173" t="s">
        <v>342</v>
      </c>
      <c r="F44" s="206">
        <v>4500000</v>
      </c>
      <c r="G44" s="206">
        <v>4500000</v>
      </c>
      <c r="H44" s="52">
        <v>37212</v>
      </c>
      <c r="I44" s="349">
        <f>SUM(H44+35)</f>
        <v>37247</v>
      </c>
      <c r="J44" s="160">
        <v>4500000</v>
      </c>
      <c r="K44" s="349">
        <f t="shared" si="1"/>
        <v>37362</v>
      </c>
      <c r="L44" s="46"/>
      <c r="M44" s="46"/>
      <c r="N44" s="46"/>
    </row>
    <row r="45" spans="1:14">
      <c r="A45" s="141">
        <v>3109</v>
      </c>
      <c r="B45" s="46" t="s">
        <v>308</v>
      </c>
      <c r="C45" s="46" t="s">
        <v>165</v>
      </c>
      <c r="D45" s="46" t="s">
        <v>613</v>
      </c>
      <c r="E45" s="173" t="s">
        <v>61</v>
      </c>
      <c r="F45" s="206">
        <v>13300000</v>
      </c>
      <c r="G45" s="206">
        <v>13300000</v>
      </c>
      <c r="H45" s="52">
        <v>37212</v>
      </c>
      <c r="I45" s="349">
        <f t="shared" ref="I45:I55" si="2">SUM(H45+35)</f>
        <v>37247</v>
      </c>
      <c r="J45" s="206">
        <v>13300000</v>
      </c>
      <c r="K45" s="349">
        <f t="shared" si="1"/>
        <v>37362</v>
      </c>
      <c r="L45" s="46"/>
      <c r="M45" s="46"/>
      <c r="N45" s="46"/>
    </row>
    <row r="46" spans="1:14">
      <c r="A46" s="141">
        <v>3120</v>
      </c>
      <c r="B46" s="46" t="s">
        <v>308</v>
      </c>
      <c r="C46" s="46" t="s">
        <v>165</v>
      </c>
      <c r="D46" s="46" t="s">
        <v>610</v>
      </c>
      <c r="E46" s="173" t="s">
        <v>456</v>
      </c>
      <c r="F46" s="206">
        <v>13700000</v>
      </c>
      <c r="G46" s="206">
        <v>13700000</v>
      </c>
      <c r="H46" s="52">
        <v>37222</v>
      </c>
      <c r="I46" s="349">
        <f t="shared" si="2"/>
        <v>37257</v>
      </c>
      <c r="J46" s="206">
        <v>13700000</v>
      </c>
      <c r="K46" s="349">
        <f t="shared" si="1"/>
        <v>37372</v>
      </c>
      <c r="L46" s="46"/>
      <c r="M46" s="46"/>
      <c r="N46" s="46"/>
    </row>
    <row r="47" spans="1:14">
      <c r="A47" s="141">
        <v>3112</v>
      </c>
      <c r="B47" s="46" t="s">
        <v>308</v>
      </c>
      <c r="C47" s="46" t="s">
        <v>165</v>
      </c>
      <c r="D47" s="46" t="s">
        <v>616</v>
      </c>
      <c r="E47" s="173" t="s">
        <v>617</v>
      </c>
      <c r="F47" s="206">
        <v>6850000</v>
      </c>
      <c r="G47" s="206">
        <v>6850000</v>
      </c>
      <c r="H47" s="52">
        <v>37212</v>
      </c>
      <c r="I47" s="349">
        <f t="shared" si="2"/>
        <v>37247</v>
      </c>
      <c r="J47" s="206">
        <v>6850000</v>
      </c>
      <c r="K47" s="349">
        <f>SUM(H47+150)</f>
        <v>37362</v>
      </c>
      <c r="L47" s="46"/>
      <c r="M47" s="46"/>
      <c r="N47" s="46"/>
    </row>
    <row r="48" spans="1:14">
      <c r="A48" s="141">
        <v>3113</v>
      </c>
      <c r="B48" s="46" t="s">
        <v>308</v>
      </c>
      <c r="C48" s="46" t="s">
        <v>165</v>
      </c>
      <c r="D48" s="46" t="s">
        <v>618</v>
      </c>
      <c r="E48" s="173" t="s">
        <v>61</v>
      </c>
      <c r="F48" s="206">
        <v>15000000</v>
      </c>
      <c r="G48" s="206">
        <v>15000000</v>
      </c>
      <c r="H48" s="52">
        <v>37212</v>
      </c>
      <c r="I48" s="349">
        <f t="shared" si="2"/>
        <v>37247</v>
      </c>
      <c r="J48" s="206">
        <v>15000000</v>
      </c>
      <c r="K48" s="349">
        <f>SUM(H48+150)</f>
        <v>37362</v>
      </c>
      <c r="L48" s="46"/>
      <c r="M48" s="46"/>
      <c r="N48" s="46"/>
    </row>
    <row r="49" spans="1:14">
      <c r="A49" s="141">
        <v>3114</v>
      </c>
      <c r="B49" s="46" t="s">
        <v>308</v>
      </c>
      <c r="C49" s="46" t="s">
        <v>165</v>
      </c>
      <c r="D49" s="46" t="s">
        <v>619</v>
      </c>
      <c r="E49" s="173" t="s">
        <v>620</v>
      </c>
      <c r="F49" s="206">
        <v>16100000</v>
      </c>
      <c r="G49" s="206">
        <v>16100000</v>
      </c>
      <c r="H49" s="52">
        <v>37215</v>
      </c>
      <c r="I49" s="349">
        <f t="shared" si="2"/>
        <v>37250</v>
      </c>
      <c r="J49" s="206">
        <v>16100000</v>
      </c>
      <c r="K49" s="349">
        <f>SUM(H49+150)</f>
        <v>37365</v>
      </c>
      <c r="L49" s="46"/>
      <c r="M49" s="46"/>
      <c r="N49" s="46"/>
    </row>
    <row r="50" spans="1:14">
      <c r="A50" s="141">
        <v>3115</v>
      </c>
      <c r="B50" s="46" t="s">
        <v>308</v>
      </c>
      <c r="C50" s="46" t="s">
        <v>165</v>
      </c>
      <c r="D50" s="46" t="s">
        <v>621</v>
      </c>
      <c r="E50" s="173" t="s">
        <v>620</v>
      </c>
      <c r="F50" s="206">
        <v>14600000</v>
      </c>
      <c r="G50" s="206">
        <v>14600000</v>
      </c>
      <c r="H50" s="52">
        <v>37215</v>
      </c>
      <c r="I50" s="349">
        <f t="shared" si="2"/>
        <v>37250</v>
      </c>
      <c r="J50" s="206">
        <v>14600000</v>
      </c>
      <c r="K50" s="349">
        <f>SUM(H50+150)</f>
        <v>37365</v>
      </c>
      <c r="L50" s="46"/>
      <c r="M50" s="46"/>
      <c r="N50" s="46"/>
    </row>
    <row r="51" spans="1:14">
      <c r="A51" s="141">
        <v>3116</v>
      </c>
      <c r="B51" s="46" t="s">
        <v>308</v>
      </c>
      <c r="C51" s="46" t="s">
        <v>614</v>
      </c>
      <c r="D51" s="46" t="s">
        <v>615</v>
      </c>
      <c r="E51" s="173" t="s">
        <v>546</v>
      </c>
      <c r="F51" s="206">
        <v>40000000</v>
      </c>
      <c r="G51" s="206">
        <v>40000000</v>
      </c>
      <c r="H51" s="283">
        <v>37215</v>
      </c>
      <c r="I51" s="349">
        <f t="shared" si="2"/>
        <v>37250</v>
      </c>
      <c r="J51" s="206">
        <v>40000000</v>
      </c>
      <c r="K51" s="349">
        <f>SUM(H51+120)</f>
        <v>37335</v>
      </c>
      <c r="L51" s="46"/>
      <c r="M51" s="46"/>
      <c r="N51" s="46"/>
    </row>
    <row r="52" spans="1:14">
      <c r="A52" s="141">
        <v>3122</v>
      </c>
      <c r="B52" s="46" t="s">
        <v>308</v>
      </c>
      <c r="C52" s="46" t="s">
        <v>28</v>
      </c>
      <c r="D52" s="46" t="s">
        <v>484</v>
      </c>
      <c r="E52" s="173" t="s">
        <v>456</v>
      </c>
      <c r="F52" s="206">
        <v>14000000</v>
      </c>
      <c r="G52" s="206">
        <v>14000000</v>
      </c>
      <c r="H52" s="389">
        <v>37225</v>
      </c>
      <c r="I52" s="349">
        <f t="shared" si="2"/>
        <v>37260</v>
      </c>
      <c r="J52" s="206">
        <v>14000000</v>
      </c>
      <c r="K52" s="349">
        <f>SUM(H52+150)</f>
        <v>37375</v>
      </c>
      <c r="L52" s="46"/>
      <c r="M52" s="46"/>
      <c r="N52" s="46"/>
    </row>
    <row r="53" spans="1:14">
      <c r="A53" s="141">
        <v>3121</v>
      </c>
      <c r="B53" s="46" t="s">
        <v>308</v>
      </c>
      <c r="C53" s="46" t="s">
        <v>165</v>
      </c>
      <c r="D53" s="46" t="s">
        <v>622</v>
      </c>
      <c r="E53" s="173" t="s">
        <v>61</v>
      </c>
      <c r="F53" s="206">
        <v>15000000</v>
      </c>
      <c r="G53" s="206">
        <v>15000000</v>
      </c>
      <c r="H53" s="389">
        <v>37222</v>
      </c>
      <c r="I53" s="349">
        <f t="shared" si="2"/>
        <v>37257</v>
      </c>
      <c r="J53" s="206">
        <v>15000000</v>
      </c>
      <c r="K53" s="349">
        <f>SUM(H53+150)</f>
        <v>37372</v>
      </c>
      <c r="L53" s="46"/>
      <c r="M53" s="46"/>
      <c r="N53" s="46"/>
    </row>
    <row r="54" spans="1:14">
      <c r="A54" s="141">
        <v>3124</v>
      </c>
      <c r="B54" s="46" t="s">
        <v>308</v>
      </c>
      <c r="C54" s="46" t="s">
        <v>28</v>
      </c>
      <c r="D54" s="46" t="s">
        <v>441</v>
      </c>
      <c r="E54" s="46" t="s">
        <v>624</v>
      </c>
      <c r="F54" s="185">
        <v>25000000</v>
      </c>
      <c r="G54" s="206">
        <f>SUM(F54*0.4)</f>
        <v>10000000</v>
      </c>
      <c r="H54" s="389">
        <v>37225</v>
      </c>
      <c r="I54" s="349">
        <f t="shared" si="2"/>
        <v>37260</v>
      </c>
      <c r="J54" s="160">
        <v>10000000</v>
      </c>
      <c r="K54" s="379">
        <f>H54+180</f>
        <v>37405</v>
      </c>
      <c r="L54" s="46"/>
      <c r="M54" s="46"/>
      <c r="N54" s="46"/>
    </row>
    <row r="55" spans="1:14">
      <c r="A55" s="141">
        <v>3125</v>
      </c>
      <c r="B55" s="46" t="s">
        <v>308</v>
      </c>
      <c r="C55" s="46" t="s">
        <v>132</v>
      </c>
      <c r="D55" s="46" t="s">
        <v>548</v>
      </c>
      <c r="E55" s="173" t="s">
        <v>412</v>
      </c>
      <c r="F55" s="206">
        <v>25000000</v>
      </c>
      <c r="G55" s="206">
        <v>25000000</v>
      </c>
      <c r="H55" s="389">
        <v>37225</v>
      </c>
      <c r="I55" s="349">
        <f t="shared" si="2"/>
        <v>37260</v>
      </c>
      <c r="J55" s="160"/>
      <c r="K55" s="266">
        <f>SUM(H55+120)</f>
        <v>37345</v>
      </c>
      <c r="L55" s="46"/>
      <c r="M55" s="46"/>
      <c r="N55" s="46"/>
    </row>
    <row r="56" spans="1:14">
      <c r="F56" s="388">
        <f>SUM(F18:F55)</f>
        <v>559429000</v>
      </c>
      <c r="G56" s="388">
        <f>SUM(G18:G55)</f>
        <v>544429000</v>
      </c>
      <c r="J56" s="388">
        <f>SUM(J18:J55)</f>
        <v>519429000</v>
      </c>
      <c r="K56" s="206"/>
      <c r="L56" s="388">
        <f>SUM(L18:L55)</f>
        <v>0</v>
      </c>
      <c r="M56" s="388">
        <f>SUM(M18:M55)</f>
        <v>0</v>
      </c>
    </row>
    <row r="58" spans="1:14">
      <c r="J58" s="279"/>
    </row>
    <row r="59" spans="1:14">
      <c r="G59" s="279">
        <f>SUM(G56+G12)</f>
        <v>675206449</v>
      </c>
    </row>
  </sheetData>
  <phoneticPr fontId="6" type="noConversion"/>
  <pageMargins left="0.75" right="0.75" top="1" bottom="1" header="0.5" footer="0.5"/>
  <pageSetup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48"/>
  <sheetViews>
    <sheetView workbookViewId="0">
      <selection activeCell="C30" sqref="C30"/>
    </sheetView>
  </sheetViews>
  <sheetFormatPr defaultRowHeight="12"/>
  <cols>
    <col min="1" max="1" width="24.28515625" bestFit="1" customWidth="1"/>
    <col min="2" max="2" width="15.140625" bestFit="1" customWidth="1"/>
    <col min="3" max="3" width="14.5703125" bestFit="1" customWidth="1"/>
    <col min="4" max="5" width="17" bestFit="1" customWidth="1"/>
    <col min="6" max="8" width="14.5703125" bestFit="1" customWidth="1"/>
  </cols>
  <sheetData>
    <row r="6" spans="1:7">
      <c r="B6" s="354">
        <v>2006</v>
      </c>
      <c r="C6" s="354">
        <v>2005</v>
      </c>
      <c r="D6" s="354">
        <v>2004</v>
      </c>
      <c r="E6" s="354">
        <v>2003</v>
      </c>
      <c r="F6" s="354" t="s">
        <v>574</v>
      </c>
      <c r="G6" s="354" t="s">
        <v>575</v>
      </c>
    </row>
    <row r="7" spans="1:7" ht="12.75" thickBot="1">
      <c r="B7" s="353" t="s">
        <v>560</v>
      </c>
      <c r="C7" s="353" t="s">
        <v>560</v>
      </c>
      <c r="D7" s="353" t="s">
        <v>560</v>
      </c>
      <c r="E7" s="353" t="s">
        <v>560</v>
      </c>
    </row>
    <row r="8" spans="1:7" ht="12.75" thickTop="1">
      <c r="A8" s="355" t="s">
        <v>561</v>
      </c>
      <c r="B8" s="390">
        <v>1828797440</v>
      </c>
      <c r="C8" s="399">
        <v>1799201760</v>
      </c>
      <c r="D8" s="362">
        <v>1769480721</v>
      </c>
      <c r="E8" s="369">
        <v>1633491975</v>
      </c>
      <c r="F8" s="370">
        <v>1599376350</v>
      </c>
      <c r="G8" s="373">
        <v>1303238750</v>
      </c>
    </row>
    <row r="9" spans="1:7">
      <c r="A9" s="356" t="s">
        <v>563</v>
      </c>
      <c r="B9" s="391">
        <f>C34+C32+C33</f>
        <v>940721729</v>
      </c>
      <c r="C9" s="364">
        <v>799457756.54999995</v>
      </c>
      <c r="D9" s="363">
        <v>385204030.55000001</v>
      </c>
      <c r="E9" s="363">
        <v>192694518.55000001</v>
      </c>
      <c r="F9" s="374">
        <v>63200000</v>
      </c>
      <c r="G9" s="375">
        <v>19066155</v>
      </c>
    </row>
    <row r="10" spans="1:7" ht="12.75" thickBot="1">
      <c r="A10" s="358" t="s">
        <v>553</v>
      </c>
      <c r="B10" s="400">
        <f t="shared" ref="B10:G10" si="0">SUM(B8:B9)</f>
        <v>2769519169</v>
      </c>
      <c r="C10" s="400">
        <f t="shared" si="0"/>
        <v>2598659516.5500002</v>
      </c>
      <c r="D10" s="365">
        <f t="shared" si="0"/>
        <v>2154684751.5500002</v>
      </c>
      <c r="E10" s="365">
        <f t="shared" si="0"/>
        <v>1826186493.55</v>
      </c>
      <c r="F10" s="365">
        <f t="shared" si="0"/>
        <v>1662576350</v>
      </c>
      <c r="G10" s="371">
        <f t="shared" si="0"/>
        <v>1322304905</v>
      </c>
    </row>
    <row r="11" spans="1:7">
      <c r="A11" s="359"/>
      <c r="B11" s="359"/>
      <c r="C11" s="364"/>
      <c r="D11" s="357"/>
      <c r="E11" s="357"/>
      <c r="F11" s="368"/>
      <c r="G11" s="372"/>
    </row>
    <row r="12" spans="1:7">
      <c r="A12" s="359" t="s">
        <v>562</v>
      </c>
      <c r="B12" s="359"/>
      <c r="C12" s="401">
        <f>SUM(C10/C8)</f>
        <v>1.4443402481720562</v>
      </c>
      <c r="D12" s="366">
        <f>SUM(D10/D8)</f>
        <v>1.2176932621974581</v>
      </c>
      <c r="E12" s="366">
        <f>SUM(E10/E8)</f>
        <v>1.117964778216924</v>
      </c>
      <c r="F12" s="368"/>
      <c r="G12" s="372"/>
    </row>
    <row r="13" spans="1:7">
      <c r="A13" s="359" t="s">
        <v>565</v>
      </c>
      <c r="B13" s="359"/>
      <c r="C13" s="401">
        <f t="shared" ref="C13:E15" si="1">SUM(C8/$E8)</f>
        <v>1.1014451172923576</v>
      </c>
      <c r="D13" s="366">
        <f t="shared" si="1"/>
        <v>1.083250330017691</v>
      </c>
      <c r="E13" s="366">
        <f t="shared" si="1"/>
        <v>1</v>
      </c>
      <c r="F13" s="368"/>
      <c r="G13" s="372"/>
    </row>
    <row r="14" spans="1:7">
      <c r="A14" s="359" t="s">
        <v>564</v>
      </c>
      <c r="B14" s="359"/>
      <c r="C14" s="401">
        <f t="shared" si="1"/>
        <v>4.1488349672103313</v>
      </c>
      <c r="D14" s="366">
        <f t="shared" si="1"/>
        <v>1.9990398971834167</v>
      </c>
      <c r="E14" s="366">
        <f t="shared" si="1"/>
        <v>1</v>
      </c>
      <c r="F14" s="368"/>
      <c r="G14" s="372"/>
    </row>
    <row r="15" spans="1:7">
      <c r="A15" s="359" t="s">
        <v>566</v>
      </c>
      <c r="B15" s="359"/>
      <c r="C15" s="401">
        <f t="shared" si="1"/>
        <v>1.4229978842403757</v>
      </c>
      <c r="D15" s="366">
        <f t="shared" si="1"/>
        <v>1.1798820981100451</v>
      </c>
      <c r="E15" s="366">
        <f t="shared" si="1"/>
        <v>1</v>
      </c>
      <c r="F15" s="368"/>
      <c r="G15" s="372"/>
    </row>
    <row r="16" spans="1:7" ht="12.75" thickBot="1">
      <c r="A16" s="359"/>
      <c r="B16" s="359"/>
      <c r="C16" s="364"/>
      <c r="D16" s="357"/>
      <c r="E16" s="357"/>
      <c r="F16" s="368"/>
      <c r="G16" s="372"/>
    </row>
    <row r="17" spans="1:7">
      <c r="A17" s="355" t="s">
        <v>554</v>
      </c>
      <c r="B17" s="355"/>
      <c r="C17" s="399">
        <f>'SC1 MRB'!N18+'SC1 MRB'!N19+'SC1 MRB'!N22+Collapse!L16</f>
        <v>75815311</v>
      </c>
      <c r="D17" s="362">
        <v>303875370</v>
      </c>
      <c r="E17" s="362">
        <v>166861717</v>
      </c>
      <c r="F17" s="368">
        <v>453396662.44999999</v>
      </c>
      <c r="G17" s="372">
        <v>418475905.30000001</v>
      </c>
    </row>
    <row r="18" spans="1:7">
      <c r="A18" s="360" t="s">
        <v>572</v>
      </c>
      <c r="B18" s="360"/>
      <c r="C18" s="364">
        <v>0</v>
      </c>
      <c r="D18" s="363">
        <v>0</v>
      </c>
      <c r="E18" s="363">
        <v>10450000</v>
      </c>
      <c r="F18" s="368">
        <v>0</v>
      </c>
      <c r="G18" s="372">
        <v>0</v>
      </c>
    </row>
    <row r="19" spans="1:7">
      <c r="A19" s="356" t="s">
        <v>558</v>
      </c>
      <c r="B19" s="356"/>
      <c r="C19" s="364">
        <f>'SC1 MRB'!N15+'SC1 MRB'!N17+'SC1 MRB'!N20+'SC1 MRB'!N21</f>
        <v>197530000</v>
      </c>
      <c r="D19" s="363">
        <v>48528775</v>
      </c>
      <c r="E19" s="363">
        <v>94209746</v>
      </c>
      <c r="F19" s="368">
        <v>0</v>
      </c>
      <c r="G19" s="372">
        <v>0</v>
      </c>
    </row>
    <row r="20" spans="1:7">
      <c r="A20" s="356" t="s">
        <v>555</v>
      </c>
      <c r="B20" s="356"/>
      <c r="C20" s="364">
        <f>Totals!H14+Collapse!L65+Collapse!L36+Collapse!L47+'SC4 MF- TDHCA'!L46-'SC4 MF- TDHCA'!M66</f>
        <v>108950000</v>
      </c>
      <c r="D20" s="363">
        <v>384700000</v>
      </c>
      <c r="E20" s="368">
        <v>388626000</v>
      </c>
      <c r="F20" s="368">
        <v>365185169</v>
      </c>
      <c r="G20" s="372">
        <v>319584000</v>
      </c>
    </row>
    <row r="21" spans="1:7">
      <c r="A21" s="360" t="s">
        <v>572</v>
      </c>
      <c r="B21" s="360"/>
      <c r="C21" s="364">
        <f>'2004 CF'!L63+'2004 CF'!L7+'2004 CF'!M33+'2004 CF'!M51+'2004 CF'!M55+'2004 CF'!M56+'SC4 TSAHC'!L15+'SC4 MF- TDHCA'!J66+'REGION 6'!M54</f>
        <v>428150000</v>
      </c>
      <c r="D21" s="364">
        <v>97550000</v>
      </c>
      <c r="E21" s="363">
        <v>123550000</v>
      </c>
      <c r="F21" s="368">
        <v>0</v>
      </c>
      <c r="G21" s="372">
        <v>0</v>
      </c>
    </row>
    <row r="22" spans="1:7">
      <c r="A22" s="356" t="s">
        <v>556</v>
      </c>
      <c r="B22" s="356"/>
      <c r="C22" s="364">
        <v>0</v>
      </c>
      <c r="D22" s="363">
        <v>0</v>
      </c>
      <c r="E22" s="363">
        <v>0</v>
      </c>
      <c r="F22" s="368">
        <v>0</v>
      </c>
      <c r="G22" s="372">
        <v>0</v>
      </c>
    </row>
    <row r="23" spans="1:7">
      <c r="A23" s="356" t="s">
        <v>5</v>
      </c>
      <c r="B23" s="356"/>
      <c r="C23" s="364">
        <f>'SC3 Small Issue IDBs'!L11</f>
        <v>4225000</v>
      </c>
      <c r="D23" s="363">
        <v>10000000</v>
      </c>
      <c r="E23" s="363">
        <v>3700000</v>
      </c>
      <c r="F23" s="368">
        <v>0</v>
      </c>
      <c r="G23" s="372">
        <v>0</v>
      </c>
    </row>
    <row r="24" spans="1:7">
      <c r="A24" s="356" t="s">
        <v>308</v>
      </c>
      <c r="B24" s="356"/>
      <c r="C24" s="364">
        <f>'2003 CF'!L8</f>
        <v>3000000</v>
      </c>
      <c r="D24" s="363">
        <v>0</v>
      </c>
      <c r="E24" s="363">
        <v>0</v>
      </c>
      <c r="F24" s="368">
        <v>0</v>
      </c>
      <c r="G24" s="372">
        <v>0</v>
      </c>
    </row>
    <row r="25" spans="1:7">
      <c r="A25" s="356" t="s">
        <v>557</v>
      </c>
      <c r="B25" s="356"/>
      <c r="C25" s="364">
        <f>Totals!J14+Collapse!L15</f>
        <v>139425000</v>
      </c>
      <c r="D25" s="363">
        <v>189355000</v>
      </c>
      <c r="E25" s="363">
        <v>391476662.44999999</v>
      </c>
      <c r="F25" s="368">
        <v>391800000</v>
      </c>
      <c r="G25" s="372">
        <v>384205000</v>
      </c>
    </row>
    <row r="26" spans="1:7">
      <c r="A26" s="356" t="s">
        <v>308</v>
      </c>
      <c r="B26" s="356"/>
      <c r="C26" s="364">
        <f>'2004 CF'!L16</f>
        <v>5200000</v>
      </c>
      <c r="D26" s="363">
        <v>0</v>
      </c>
      <c r="E26" s="363">
        <v>22108337.550000001</v>
      </c>
      <c r="F26" s="368">
        <v>0</v>
      </c>
      <c r="G26" s="372"/>
    </row>
    <row r="27" spans="1:7">
      <c r="A27" s="356" t="s">
        <v>552</v>
      </c>
      <c r="B27" s="356"/>
      <c r="C27" s="364">
        <f>'SC5 Student Loans'!L12+Collapse!L23+Collapse!L24+Collapse!L27</f>
        <v>598050000</v>
      </c>
      <c r="D27" s="364">
        <v>296200000</v>
      </c>
      <c r="E27" s="363">
        <v>140000000</v>
      </c>
      <c r="F27" s="368">
        <v>139500000</v>
      </c>
      <c r="G27" s="372">
        <v>136840000</v>
      </c>
    </row>
    <row r="28" spans="1:7">
      <c r="A28" s="356" t="s">
        <v>308</v>
      </c>
      <c r="B28" s="356"/>
      <c r="C28" s="364">
        <f>'SC5 Student Loans'!L19</f>
        <v>58000000</v>
      </c>
      <c r="D28" s="364">
        <v>0</v>
      </c>
      <c r="E28" s="363">
        <v>0</v>
      </c>
      <c r="F28" s="368">
        <v>0</v>
      </c>
      <c r="G28" s="372">
        <v>0</v>
      </c>
    </row>
    <row r="29" spans="1:7">
      <c r="A29" s="356" t="s">
        <v>573</v>
      </c>
      <c r="B29" s="356"/>
      <c r="C29" s="364">
        <v>0</v>
      </c>
      <c r="D29" s="364">
        <v>25000000</v>
      </c>
      <c r="E29" s="363">
        <v>100000000</v>
      </c>
      <c r="F29" s="368">
        <v>120000000</v>
      </c>
      <c r="G29" s="372">
        <v>0</v>
      </c>
    </row>
    <row r="30" spans="1:7">
      <c r="A30" s="356" t="s">
        <v>559</v>
      </c>
      <c r="B30" s="356"/>
      <c r="C30" s="364">
        <f>'2002 CF'!M13+'2004 CF'!M16+0.55+2941000</f>
        <v>39592476.549999997</v>
      </c>
      <c r="D30" s="363">
        <v>17849.55</v>
      </c>
      <c r="E30" s="363">
        <v>0</v>
      </c>
      <c r="F30" s="368">
        <v>0</v>
      </c>
      <c r="G30" s="372"/>
    </row>
    <row r="31" spans="1:7">
      <c r="A31" s="356"/>
      <c r="B31" s="356"/>
      <c r="C31" s="364"/>
      <c r="D31" s="363">
        <v>36651475.549999997</v>
      </c>
      <c r="E31" s="363"/>
      <c r="F31" s="368"/>
      <c r="G31" s="372"/>
    </row>
    <row r="32" spans="1:7">
      <c r="A32" s="356" t="s">
        <v>629</v>
      </c>
      <c r="B32" s="356"/>
      <c r="C32" s="364">
        <f>'2003 CF'!G7+'2003 CF'!M14+'2003 CF'!M16+'2003 CF'!M17</f>
        <v>95000000</v>
      </c>
      <c r="D32" s="363">
        <f>'2003 CF'!G10+'2003 CF'!M14+'2003 CF'!M16+'2003 CF'!M17</f>
        <v>98000000</v>
      </c>
      <c r="E32" s="363"/>
      <c r="F32" s="368"/>
      <c r="G32" s="372"/>
    </row>
    <row r="33" spans="1:8">
      <c r="A33" s="356" t="s">
        <v>628</v>
      </c>
      <c r="B33" s="356"/>
      <c r="C33" s="364">
        <f>169775280+'SC4 TSAHC'!M15</f>
        <v>170515280</v>
      </c>
      <c r="D33" s="363">
        <v>661780575</v>
      </c>
      <c r="E33" s="363"/>
      <c r="F33" s="368"/>
      <c r="G33" s="372"/>
    </row>
    <row r="34" spans="1:8">
      <c r="A34" s="356" t="s">
        <v>630</v>
      </c>
      <c r="B34" s="356"/>
      <c r="C34" s="364">
        <f>'2005 CF'!G59</f>
        <v>675206449</v>
      </c>
      <c r="D34" s="363"/>
      <c r="E34" s="364">
        <v>385204030.55000001</v>
      </c>
      <c r="F34" s="363">
        <v>192694518.55000001</v>
      </c>
      <c r="G34" s="372">
        <v>63200000</v>
      </c>
      <c r="H34" s="279"/>
    </row>
    <row r="35" spans="1:8" ht="12.75" thickBot="1">
      <c r="A35" s="361"/>
      <c r="B35" s="365">
        <f t="shared" ref="B35:G35" si="2">SUM(B17:B34)</f>
        <v>0</v>
      </c>
      <c r="C35" s="400">
        <f>SUM(C17:C34)</f>
        <v>2598659516.5500002</v>
      </c>
      <c r="D35" s="394">
        <f>SUM(D17:D34)</f>
        <v>2151659045.0999999</v>
      </c>
      <c r="E35" s="394">
        <f t="shared" si="2"/>
        <v>1826186493.55</v>
      </c>
      <c r="F35" s="365">
        <f t="shared" si="2"/>
        <v>1662576350</v>
      </c>
      <c r="G35" s="371">
        <f t="shared" si="2"/>
        <v>1322304905.3</v>
      </c>
    </row>
    <row r="37" spans="1:8">
      <c r="D37" s="41"/>
    </row>
    <row r="38" spans="1:8">
      <c r="A38" t="s">
        <v>576</v>
      </c>
    </row>
    <row r="39" spans="1:8">
      <c r="C39" s="393">
        <f>SUM(C10-C35)</f>
        <v>0</v>
      </c>
      <c r="D39" s="393">
        <f>SUM(D10-D35)</f>
        <v>3025706.4500002861</v>
      </c>
      <c r="E39" s="398"/>
      <c r="F39" s="279"/>
      <c r="G39" s="279"/>
    </row>
    <row r="40" spans="1:8">
      <c r="C40" s="397">
        <f>SUM(C39/C10)</f>
        <v>0</v>
      </c>
    </row>
    <row r="42" spans="1:8">
      <c r="B42" t="s">
        <v>561</v>
      </c>
      <c r="C42" s="279">
        <f>SUM(C17+C19+C20+C22+C23+C25+C27+C29+C34)</f>
        <v>1799201760</v>
      </c>
      <c r="D42" s="279">
        <f>SUM(C42-C8)</f>
        <v>0</v>
      </c>
    </row>
    <row r="43" spans="1:8">
      <c r="B43" t="s">
        <v>638</v>
      </c>
      <c r="C43" s="279">
        <f>SUM(C18+C21+C24+C26+C28+C30+C32+C33)</f>
        <v>799457756.54999995</v>
      </c>
      <c r="D43" s="279">
        <f>SUM(C43-C9)</f>
        <v>0</v>
      </c>
    </row>
    <row r="45" spans="1:8">
      <c r="C45" s="279">
        <f>SUM(C20:C21)</f>
        <v>537100000</v>
      </c>
      <c r="D45" s="279">
        <f>SUM(D20:D21)</f>
        <v>482250000</v>
      </c>
      <c r="E45" s="279">
        <f>SUM(E20:E21)</f>
        <v>512176000</v>
      </c>
      <c r="F45" s="279">
        <f>SUM(F20:F21)</f>
        <v>365185169</v>
      </c>
      <c r="G45" s="279">
        <f>SUM(G20:G21)</f>
        <v>319584000</v>
      </c>
    </row>
    <row r="47" spans="1:8">
      <c r="C47" s="402">
        <f>SUM(C8-C34)</f>
        <v>1123995311</v>
      </c>
      <c r="D47" s="393">
        <f>SUM(D31:D33)</f>
        <v>796432050.54999995</v>
      </c>
    </row>
    <row r="48" spans="1:8">
      <c r="C48" s="279">
        <f>SUM(D8-D33)</f>
        <v>1107700146</v>
      </c>
    </row>
  </sheetData>
  <phoneticPr fontId="6" type="noConversion"/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zoomScaleNormal="100" workbookViewId="0">
      <pane xSplit="1" ySplit="8" topLeftCell="B9" activePane="bottomRight" state="frozen"/>
      <selection activeCell="C12" sqref="C12"/>
      <selection pane="topRight" activeCell="C12" sqref="C12"/>
      <selection pane="bottomLeft" activeCell="C12" sqref="C12"/>
      <selection pane="bottomRight" activeCell="N29" sqref="N29"/>
    </sheetView>
  </sheetViews>
  <sheetFormatPr defaultColWidth="11.42578125" defaultRowHeight="12"/>
  <cols>
    <col min="1" max="1" width="11.42578125" style="43" customWidth="1"/>
    <col min="2" max="2" width="7.85546875" style="43" bestFit="1" customWidth="1"/>
    <col min="3" max="3" width="21.5703125" style="43" customWidth="1"/>
    <col min="4" max="4" width="4.5703125" style="43" customWidth="1"/>
    <col min="5" max="5" width="6.42578125" style="43" customWidth="1"/>
    <col min="6" max="6" width="13.42578125" style="58" bestFit="1" customWidth="1"/>
    <col min="7" max="7" width="11.42578125" style="43" customWidth="1"/>
    <col min="8" max="8" width="11.5703125" style="58" bestFit="1" customWidth="1"/>
    <col min="9" max="9" width="13.5703125" style="63" bestFit="1" customWidth="1"/>
    <col min="10" max="10" width="13.7109375" style="43" bestFit="1" customWidth="1"/>
    <col min="11" max="11" width="9.5703125" style="43" bestFit="1" customWidth="1"/>
    <col min="12" max="12" width="11.42578125" style="44" customWidth="1"/>
    <col min="13" max="13" width="9.5703125" style="43" bestFit="1" customWidth="1"/>
    <col min="14" max="14" width="13.7109375" style="58" bestFit="1" customWidth="1"/>
    <col min="15" max="15" width="13.85546875" style="43" bestFit="1" customWidth="1"/>
    <col min="16" max="16" width="9.28515625" style="43" bestFit="1" customWidth="1"/>
    <col min="17" max="16384" width="11.42578125" style="43"/>
  </cols>
  <sheetData>
    <row r="1" spans="1:16" s="74" customFormat="1">
      <c r="A1" s="66" t="s">
        <v>38</v>
      </c>
      <c r="C1" s="68">
        <v>503776493</v>
      </c>
      <c r="D1" s="68"/>
      <c r="E1" s="68"/>
      <c r="H1" s="175"/>
      <c r="I1" s="70" t="s">
        <v>27</v>
      </c>
      <c r="J1" s="71">
        <f>C1-J2-J3-J4</f>
        <v>285850995.33333337</v>
      </c>
      <c r="K1" s="67"/>
      <c r="L1" s="134"/>
      <c r="M1" s="72"/>
      <c r="N1" s="174"/>
      <c r="O1" s="174"/>
      <c r="P1" s="73">
        <f>Totals!D2</f>
        <v>36893</v>
      </c>
    </row>
    <row r="2" spans="1:16" s="62" customFormat="1">
      <c r="A2" s="75" t="s">
        <v>62</v>
      </c>
      <c r="B2" s="82"/>
      <c r="C2" s="54"/>
      <c r="D2" s="54"/>
      <c r="E2" s="54"/>
      <c r="H2" s="176"/>
      <c r="I2" s="78" t="s">
        <v>21</v>
      </c>
      <c r="J2" s="96">
        <f>SUM(C1/3*1)</f>
        <v>167925497.66666666</v>
      </c>
      <c r="K2" s="54"/>
      <c r="L2" s="135" t="s">
        <v>4</v>
      </c>
      <c r="M2" s="80"/>
      <c r="N2" s="176"/>
      <c r="O2" s="177"/>
      <c r="P2" s="178"/>
    </row>
    <row r="3" spans="1:16" s="62" customFormat="1">
      <c r="A3" s="75"/>
      <c r="B3" s="82"/>
      <c r="C3" s="54"/>
      <c r="D3" s="54"/>
      <c r="E3" s="54"/>
      <c r="H3" s="176"/>
      <c r="I3" s="78" t="s">
        <v>85</v>
      </c>
      <c r="J3" s="96">
        <v>25000000</v>
      </c>
      <c r="K3" s="54"/>
      <c r="L3" s="135"/>
      <c r="M3" s="80"/>
      <c r="N3" s="176"/>
      <c r="O3" s="177"/>
      <c r="P3" s="178"/>
    </row>
    <row r="4" spans="1:16" s="62" customFormat="1">
      <c r="A4" s="75"/>
      <c r="B4" s="82"/>
      <c r="C4" s="54"/>
      <c r="D4" s="54"/>
      <c r="E4" s="54"/>
      <c r="H4" s="176"/>
      <c r="I4" s="78" t="s">
        <v>85</v>
      </c>
      <c r="J4" s="96">
        <v>25000000</v>
      </c>
      <c r="K4" s="54"/>
      <c r="L4" s="135"/>
      <c r="M4" s="80"/>
      <c r="N4" s="176"/>
      <c r="O4" s="177"/>
      <c r="P4" s="178"/>
    </row>
    <row r="5" spans="1:16" s="62" customFormat="1">
      <c r="A5" s="75"/>
      <c r="B5" s="82"/>
      <c r="C5" s="54"/>
      <c r="D5" s="54"/>
      <c r="E5" s="54"/>
      <c r="F5" s="176"/>
      <c r="G5" s="177"/>
      <c r="H5" s="176"/>
      <c r="I5" s="78"/>
      <c r="J5" s="96"/>
      <c r="K5" s="54"/>
      <c r="L5" s="135"/>
      <c r="M5" s="80"/>
      <c r="N5" s="176"/>
      <c r="O5" s="177"/>
      <c r="P5" s="178"/>
    </row>
    <row r="6" spans="1:16" s="47" customFormat="1">
      <c r="A6" s="83" t="s">
        <v>54</v>
      </c>
      <c r="B6" s="54" t="s">
        <v>66</v>
      </c>
      <c r="C6" s="54" t="s">
        <v>52</v>
      </c>
      <c r="D6" s="54" t="s">
        <v>83</v>
      </c>
      <c r="E6" s="54" t="s">
        <v>79</v>
      </c>
      <c r="F6" s="180" t="s">
        <v>42</v>
      </c>
      <c r="G6" s="181" t="s">
        <v>67</v>
      </c>
      <c r="H6" s="180" t="s">
        <v>68</v>
      </c>
      <c r="I6" s="180" t="s">
        <v>13</v>
      </c>
      <c r="J6" s="53" t="s">
        <v>26</v>
      </c>
      <c r="K6" s="53" t="s">
        <v>56</v>
      </c>
      <c r="L6" s="136" t="s">
        <v>7</v>
      </c>
      <c r="M6" s="53" t="s">
        <v>40</v>
      </c>
      <c r="N6" s="180" t="s">
        <v>47</v>
      </c>
      <c r="O6" s="181" t="s">
        <v>78</v>
      </c>
      <c r="P6" s="81" t="s">
        <v>41</v>
      </c>
    </row>
    <row r="7" spans="1:16" s="47" customFormat="1">
      <c r="A7" s="83" t="s">
        <v>82</v>
      </c>
      <c r="B7" s="82"/>
      <c r="C7" s="76"/>
      <c r="D7" s="76"/>
      <c r="E7" s="76"/>
      <c r="F7" s="180" t="s">
        <v>75</v>
      </c>
      <c r="G7" s="181" t="s">
        <v>80</v>
      </c>
      <c r="H7" s="180" t="s">
        <v>75</v>
      </c>
      <c r="I7" s="180" t="s">
        <v>75</v>
      </c>
      <c r="J7" s="53" t="s">
        <v>14</v>
      </c>
      <c r="K7" s="53" t="s">
        <v>35</v>
      </c>
      <c r="L7" s="136" t="s">
        <v>75</v>
      </c>
      <c r="M7" s="53" t="s">
        <v>35</v>
      </c>
      <c r="N7" s="180" t="s">
        <v>75</v>
      </c>
      <c r="O7" s="181" t="s">
        <v>75</v>
      </c>
      <c r="P7" s="81" t="s">
        <v>8</v>
      </c>
    </row>
    <row r="8" spans="1:16" s="54" customFormat="1" ht="12.75" thickBot="1">
      <c r="A8" s="98" t="s">
        <v>32</v>
      </c>
      <c r="B8" s="99" t="s">
        <v>12</v>
      </c>
      <c r="C8" s="100"/>
      <c r="D8" s="100"/>
      <c r="E8" s="100"/>
      <c r="F8" s="182"/>
      <c r="G8" s="183"/>
      <c r="H8" s="182"/>
      <c r="I8" s="182"/>
      <c r="J8" s="101"/>
      <c r="K8" s="101"/>
      <c r="L8" s="138"/>
      <c r="M8" s="101"/>
      <c r="N8" s="182"/>
      <c r="O8" s="183"/>
      <c r="P8" s="102" t="s">
        <v>14</v>
      </c>
    </row>
    <row r="9" spans="1:16" s="82" customFormat="1">
      <c r="A9" s="43">
        <v>2971</v>
      </c>
      <c r="B9" s="43" t="s">
        <v>307</v>
      </c>
      <c r="C9" s="43" t="s">
        <v>96</v>
      </c>
      <c r="D9" s="43" t="s">
        <v>441</v>
      </c>
      <c r="E9" s="43"/>
      <c r="F9" s="187">
        <v>25000000</v>
      </c>
      <c r="G9" s="286">
        <v>0.47170000000000001</v>
      </c>
      <c r="H9" s="58">
        <f>ROUND(SUM(F9*G9),0)</f>
        <v>11792500</v>
      </c>
      <c r="I9" s="58">
        <v>11792500</v>
      </c>
      <c r="J9" s="45">
        <v>36896</v>
      </c>
      <c r="K9" s="45">
        <f t="shared" ref="K9:K22" si="0">J9+35</f>
        <v>36931</v>
      </c>
      <c r="L9" s="184">
        <v>0</v>
      </c>
      <c r="M9" s="45">
        <f>J9+180</f>
        <v>37076</v>
      </c>
      <c r="N9" s="395">
        <v>0</v>
      </c>
      <c r="O9" s="184">
        <f>SUM(I9-L9)</f>
        <v>11792500</v>
      </c>
      <c r="P9" s="45">
        <v>36929</v>
      </c>
    </row>
    <row r="10" spans="1:16">
      <c r="A10" s="43">
        <v>2976</v>
      </c>
      <c r="B10" s="43" t="s">
        <v>307</v>
      </c>
      <c r="C10" s="43" t="s">
        <v>20</v>
      </c>
      <c r="D10" s="43" t="s">
        <v>441</v>
      </c>
      <c r="E10" s="43" t="s">
        <v>439</v>
      </c>
      <c r="F10" s="187">
        <v>19978200</v>
      </c>
      <c r="G10" s="284">
        <v>0.96530000000000005</v>
      </c>
      <c r="H10" s="58">
        <v>19978200</v>
      </c>
      <c r="I10" s="187">
        <v>19978200</v>
      </c>
      <c r="J10" s="45">
        <v>36900</v>
      </c>
      <c r="K10" s="45">
        <f t="shared" si="0"/>
        <v>36935</v>
      </c>
      <c r="L10" s="184">
        <v>0</v>
      </c>
      <c r="M10" s="45">
        <f t="shared" ref="M10:M16" si="1">J10+180</f>
        <v>37080</v>
      </c>
      <c r="N10" s="395">
        <v>0</v>
      </c>
      <c r="O10" s="184">
        <f>SUM(I10-L10)</f>
        <v>19978200</v>
      </c>
      <c r="P10" s="45">
        <v>36924</v>
      </c>
    </row>
    <row r="11" spans="1:16">
      <c r="A11" s="43">
        <v>2979</v>
      </c>
      <c r="B11" s="43" t="s">
        <v>307</v>
      </c>
      <c r="C11" s="43" t="s">
        <v>88</v>
      </c>
      <c r="D11" s="43" t="s">
        <v>441</v>
      </c>
      <c r="F11" s="187">
        <v>21585530</v>
      </c>
      <c r="G11" s="286">
        <f>15700/18455</f>
        <v>0.85071796261175836</v>
      </c>
      <c r="H11" s="58">
        <f t="shared" ref="H11:H16" si="2">ROUND(SUM(F11*G11),0)</f>
        <v>18363198</v>
      </c>
      <c r="I11" s="187">
        <v>18363198</v>
      </c>
      <c r="J11" s="45">
        <v>36900</v>
      </c>
      <c r="K11" s="45">
        <f t="shared" si="0"/>
        <v>36935</v>
      </c>
      <c r="L11" s="184">
        <v>18363198</v>
      </c>
      <c r="M11" s="45">
        <f t="shared" si="1"/>
        <v>37080</v>
      </c>
      <c r="N11" s="395">
        <v>0</v>
      </c>
      <c r="O11" s="184">
        <f>SUM(I11-N11)</f>
        <v>18363198</v>
      </c>
      <c r="P11" s="45">
        <v>37082</v>
      </c>
    </row>
    <row r="12" spans="1:16">
      <c r="A12" s="43">
        <v>2991</v>
      </c>
      <c r="B12" s="43" t="s">
        <v>362</v>
      </c>
      <c r="C12" s="43" t="s">
        <v>304</v>
      </c>
      <c r="D12" s="43" t="s">
        <v>441</v>
      </c>
      <c r="F12" s="187">
        <v>22780136</v>
      </c>
      <c r="G12" s="286">
        <v>0.74590000000000001</v>
      </c>
      <c r="H12" s="58">
        <f t="shared" si="2"/>
        <v>16991703</v>
      </c>
      <c r="I12" s="187">
        <v>16991703</v>
      </c>
      <c r="J12" s="45">
        <v>36910</v>
      </c>
      <c r="K12" s="45">
        <f t="shared" si="0"/>
        <v>36945</v>
      </c>
      <c r="L12" s="187">
        <v>16991703</v>
      </c>
      <c r="M12" s="45">
        <f t="shared" si="1"/>
        <v>37090</v>
      </c>
      <c r="N12" s="395">
        <v>0</v>
      </c>
      <c r="O12" s="184">
        <f>SUM(I12-N12)</f>
        <v>16991703</v>
      </c>
      <c r="P12" s="45">
        <v>37082</v>
      </c>
    </row>
    <row r="13" spans="1:16">
      <c r="A13" s="43">
        <v>2992</v>
      </c>
      <c r="B13" s="43" t="s">
        <v>307</v>
      </c>
      <c r="C13" s="43" t="s">
        <v>84</v>
      </c>
      <c r="D13" s="43" t="s">
        <v>441</v>
      </c>
      <c r="F13" s="187">
        <v>18915350</v>
      </c>
      <c r="G13" s="286">
        <v>1</v>
      </c>
      <c r="H13" s="58">
        <f t="shared" si="2"/>
        <v>18915350</v>
      </c>
      <c r="I13" s="187">
        <v>18915350</v>
      </c>
      <c r="J13" s="45">
        <v>36910</v>
      </c>
      <c r="K13" s="45">
        <f t="shared" si="0"/>
        <v>36945</v>
      </c>
      <c r="L13" s="184">
        <v>0</v>
      </c>
      <c r="M13" s="45">
        <f>J13+180</f>
        <v>37090</v>
      </c>
      <c r="N13" s="395">
        <v>0</v>
      </c>
      <c r="O13" s="184">
        <f>SUM(I13-L13)</f>
        <v>18915350</v>
      </c>
      <c r="P13" s="45">
        <v>36943</v>
      </c>
    </row>
    <row r="14" spans="1:16">
      <c r="A14" s="43">
        <v>2993</v>
      </c>
      <c r="B14" s="43" t="s">
        <v>307</v>
      </c>
      <c r="C14" s="43" t="s">
        <v>364</v>
      </c>
      <c r="D14" s="43" t="s">
        <v>441</v>
      </c>
      <c r="F14" s="187">
        <v>16000000</v>
      </c>
      <c r="G14" s="286">
        <v>1</v>
      </c>
      <c r="H14" s="58">
        <f t="shared" si="2"/>
        <v>16000000</v>
      </c>
      <c r="I14" s="176">
        <v>16000000</v>
      </c>
      <c r="J14" s="45">
        <v>36914</v>
      </c>
      <c r="K14" s="45">
        <f t="shared" si="0"/>
        <v>36949</v>
      </c>
      <c r="L14" s="184">
        <v>0</v>
      </c>
      <c r="M14" s="45">
        <f t="shared" si="1"/>
        <v>37094</v>
      </c>
      <c r="N14" s="395">
        <v>0</v>
      </c>
      <c r="O14" s="184">
        <f>SUM(I14-N14)</f>
        <v>16000000</v>
      </c>
      <c r="P14" s="45">
        <v>36949</v>
      </c>
    </row>
    <row r="15" spans="1:16">
      <c r="A15" s="43">
        <v>2994</v>
      </c>
      <c r="B15" s="43" t="s">
        <v>395</v>
      </c>
      <c r="C15" s="43" t="s">
        <v>93</v>
      </c>
      <c r="D15" s="43" t="s">
        <v>442</v>
      </c>
      <c r="E15" s="43" t="s">
        <v>12</v>
      </c>
      <c r="F15" s="187">
        <v>22737015</v>
      </c>
      <c r="G15" s="286">
        <f>5074649.5/11837500</f>
        <v>0.42869267159450897</v>
      </c>
      <c r="H15" s="58">
        <f t="shared" si="2"/>
        <v>9747192</v>
      </c>
      <c r="I15" s="187">
        <v>9747192</v>
      </c>
      <c r="J15" s="45">
        <v>36915</v>
      </c>
      <c r="K15" s="45">
        <f t="shared" si="0"/>
        <v>36950</v>
      </c>
      <c r="L15" s="187">
        <v>9747192</v>
      </c>
      <c r="M15" s="45">
        <f t="shared" si="1"/>
        <v>37095</v>
      </c>
      <c r="N15" s="58">
        <v>4800000</v>
      </c>
      <c r="O15" s="184">
        <f>SUM(I15-N15)</f>
        <v>4947192</v>
      </c>
      <c r="P15" s="45">
        <v>37030</v>
      </c>
    </row>
    <row r="16" spans="1:16">
      <c r="A16" s="43">
        <v>3004</v>
      </c>
      <c r="B16" s="43" t="s">
        <v>307</v>
      </c>
      <c r="C16" s="43" t="s">
        <v>9</v>
      </c>
      <c r="D16" s="43" t="s">
        <v>441</v>
      </c>
      <c r="E16" s="43" t="s">
        <v>440</v>
      </c>
      <c r="F16" s="187">
        <v>13641450</v>
      </c>
      <c r="G16" s="286">
        <f>6894320/10006000</f>
        <v>0.68901858884669198</v>
      </c>
      <c r="H16" s="58">
        <f t="shared" si="2"/>
        <v>9399213</v>
      </c>
      <c r="I16" s="187">
        <v>9399213</v>
      </c>
      <c r="J16" s="45">
        <v>36921</v>
      </c>
      <c r="K16" s="45">
        <f t="shared" si="0"/>
        <v>36956</v>
      </c>
      <c r="L16" s="184">
        <v>0</v>
      </c>
      <c r="M16" s="45">
        <f t="shared" si="1"/>
        <v>37101</v>
      </c>
      <c r="N16" s="395">
        <v>0</v>
      </c>
      <c r="O16" s="184">
        <f>SUM(I16-L16)</f>
        <v>9399213</v>
      </c>
      <c r="P16" s="45">
        <v>36953</v>
      </c>
    </row>
    <row r="17" spans="1:16" s="86" customFormat="1" ht="13.5" customHeight="1">
      <c r="A17" s="43">
        <v>2983</v>
      </c>
      <c r="B17" s="62" t="s">
        <v>395</v>
      </c>
      <c r="C17" s="43" t="s">
        <v>165</v>
      </c>
      <c r="D17" s="43" t="s">
        <v>442</v>
      </c>
      <c r="E17" s="43" t="s">
        <v>361</v>
      </c>
      <c r="F17" s="295">
        <v>60000000</v>
      </c>
      <c r="G17" s="63"/>
      <c r="H17" s="58">
        <v>60000000</v>
      </c>
      <c r="I17" s="197">
        <v>60000000</v>
      </c>
      <c r="J17" s="45">
        <v>36903</v>
      </c>
      <c r="K17" s="45">
        <f t="shared" si="0"/>
        <v>36938</v>
      </c>
      <c r="L17" s="184">
        <v>60000000</v>
      </c>
      <c r="M17" s="45">
        <f t="shared" ref="M17:M22" si="3">J17+180</f>
        <v>37083</v>
      </c>
      <c r="N17" s="87">
        <v>60000000</v>
      </c>
      <c r="O17" s="196">
        <v>0</v>
      </c>
      <c r="P17" s="88">
        <v>36937</v>
      </c>
    </row>
    <row r="18" spans="1:16">
      <c r="A18" s="43">
        <v>3050</v>
      </c>
      <c r="B18" s="43" t="s">
        <v>395</v>
      </c>
      <c r="C18" s="43" t="s">
        <v>506</v>
      </c>
      <c r="D18" s="43" t="s">
        <v>441</v>
      </c>
      <c r="E18" s="43" t="s">
        <v>507</v>
      </c>
      <c r="F18" s="187">
        <v>25000000</v>
      </c>
      <c r="G18" s="63"/>
      <c r="H18" s="58">
        <v>25000000</v>
      </c>
      <c r="I18" s="58">
        <v>25000000</v>
      </c>
      <c r="J18" s="45">
        <v>37056</v>
      </c>
      <c r="K18" s="45">
        <f t="shared" si="0"/>
        <v>37091</v>
      </c>
      <c r="L18" s="184">
        <v>25000000</v>
      </c>
      <c r="M18" s="45">
        <f t="shared" si="3"/>
        <v>37236</v>
      </c>
      <c r="N18" s="58">
        <v>24999936</v>
      </c>
      <c r="O18" s="184">
        <f>SUM(I18-N18)</f>
        <v>64</v>
      </c>
      <c r="P18" s="45">
        <v>37114</v>
      </c>
    </row>
    <row r="19" spans="1:16">
      <c r="A19" s="43">
        <v>3052</v>
      </c>
      <c r="B19" s="43" t="s">
        <v>395</v>
      </c>
      <c r="C19" s="43" t="s">
        <v>15</v>
      </c>
      <c r="D19" s="43" t="s">
        <v>441</v>
      </c>
      <c r="E19" s="43" t="s">
        <v>61</v>
      </c>
      <c r="F19" s="187">
        <v>13250000</v>
      </c>
      <c r="G19" s="63"/>
      <c r="H19" s="58">
        <v>13250000</v>
      </c>
      <c r="I19" s="58">
        <v>13250000</v>
      </c>
      <c r="J19" s="45">
        <v>37058</v>
      </c>
      <c r="K19" s="45">
        <f t="shared" si="0"/>
        <v>37093</v>
      </c>
      <c r="L19" s="184">
        <v>13250000</v>
      </c>
      <c r="M19" s="45">
        <f t="shared" si="3"/>
        <v>37238</v>
      </c>
      <c r="N19" s="58">
        <v>13018762.5</v>
      </c>
      <c r="O19" s="346">
        <f>SUM(I19-N19)</f>
        <v>231237.5</v>
      </c>
      <c r="P19" s="45">
        <v>37100</v>
      </c>
    </row>
    <row r="20" spans="1:16">
      <c r="A20" s="43">
        <v>3057</v>
      </c>
      <c r="B20" s="43" t="s">
        <v>395</v>
      </c>
      <c r="C20" s="43" t="s">
        <v>165</v>
      </c>
      <c r="D20" s="43" t="s">
        <v>518</v>
      </c>
      <c r="E20" s="43" t="s">
        <v>361</v>
      </c>
      <c r="F20" s="187">
        <v>107925498</v>
      </c>
      <c r="G20" s="63"/>
      <c r="H20" s="187">
        <v>107925498</v>
      </c>
      <c r="I20" s="187">
        <v>107925498</v>
      </c>
      <c r="J20" s="45">
        <v>37084</v>
      </c>
      <c r="K20" s="45">
        <f t="shared" si="0"/>
        <v>37119</v>
      </c>
      <c r="L20" s="187">
        <v>107925498</v>
      </c>
      <c r="M20" s="45">
        <f t="shared" si="3"/>
        <v>37264</v>
      </c>
      <c r="N20" s="58">
        <f>60000000+44000000+3730000</f>
        <v>107730000</v>
      </c>
      <c r="O20" s="184">
        <f>SUM(I20-N20)</f>
        <v>195498</v>
      </c>
      <c r="P20" s="45">
        <v>37240</v>
      </c>
    </row>
    <row r="21" spans="1:16">
      <c r="A21" s="43">
        <v>3065</v>
      </c>
      <c r="B21" s="43" t="s">
        <v>395</v>
      </c>
      <c r="C21" s="43" t="s">
        <v>77</v>
      </c>
      <c r="D21" s="43" t="s">
        <v>442</v>
      </c>
      <c r="E21" s="43" t="s">
        <v>514</v>
      </c>
      <c r="F21" s="187">
        <v>25000000</v>
      </c>
      <c r="G21" s="286">
        <v>0.95499999999999996</v>
      </c>
      <c r="H21" s="187">
        <v>25000000</v>
      </c>
      <c r="I21" s="187">
        <v>25000000</v>
      </c>
      <c r="J21" s="45">
        <v>37097</v>
      </c>
      <c r="K21" s="45">
        <f t="shared" si="0"/>
        <v>37132</v>
      </c>
      <c r="L21" s="187">
        <v>25000000</v>
      </c>
      <c r="M21" s="45">
        <f t="shared" si="3"/>
        <v>37277</v>
      </c>
      <c r="N21" s="58">
        <v>25000000</v>
      </c>
      <c r="O21" s="187">
        <v>0</v>
      </c>
      <c r="P21" s="45">
        <v>37104</v>
      </c>
    </row>
    <row r="22" spans="1:16">
      <c r="A22" s="43">
        <v>3066</v>
      </c>
      <c r="B22" s="43" t="s">
        <v>395</v>
      </c>
      <c r="C22" s="43" t="s">
        <v>506</v>
      </c>
      <c r="D22" s="43" t="s">
        <v>441</v>
      </c>
      <c r="E22" s="43" t="s">
        <v>521</v>
      </c>
      <c r="F22" s="187">
        <v>25000000</v>
      </c>
      <c r="G22" s="381">
        <f>9157717/23028930</f>
        <v>0.39766141978806657</v>
      </c>
      <c r="H22" s="187">
        <v>25000000</v>
      </c>
      <c r="I22" s="187">
        <v>25000000</v>
      </c>
      <c r="J22" s="45">
        <v>37106</v>
      </c>
      <c r="K22" s="45">
        <f t="shared" si="0"/>
        <v>37141</v>
      </c>
      <c r="L22" s="187">
        <v>25000000</v>
      </c>
      <c r="M22" s="45">
        <f t="shared" si="3"/>
        <v>37286</v>
      </c>
      <c r="N22" s="58">
        <v>12804612.5</v>
      </c>
      <c r="O22" s="184">
        <f>SUM(I22-N22)</f>
        <v>12195387.5</v>
      </c>
      <c r="P22" s="45">
        <v>37194</v>
      </c>
    </row>
    <row r="23" spans="1:16" s="46" customFormat="1">
      <c r="F23" s="185"/>
      <c r="G23" s="317"/>
      <c r="H23" s="185"/>
      <c r="I23" s="185"/>
      <c r="J23" s="52"/>
      <c r="K23" s="52"/>
      <c r="L23" s="310"/>
      <c r="M23" s="52"/>
      <c r="N23" s="129"/>
      <c r="O23" s="345"/>
    </row>
    <row r="24" spans="1:16">
      <c r="C24" s="47" t="s">
        <v>10</v>
      </c>
      <c r="D24" s="47"/>
      <c r="E24" s="47"/>
      <c r="F24" s="189">
        <f>SUM(F9:F23)</f>
        <v>416813179</v>
      </c>
      <c r="H24" s="91">
        <f>SUM(H9:H23)</f>
        <v>377362854</v>
      </c>
      <c r="I24" s="91">
        <f>SUM(I9:I23)</f>
        <v>377362854</v>
      </c>
      <c r="L24" s="91">
        <f>SUM(L9:L23)</f>
        <v>301277591</v>
      </c>
      <c r="M24" s="190"/>
      <c r="N24" s="91">
        <f>SUM(N9:N23)</f>
        <v>248353311</v>
      </c>
      <c r="O24" s="198">
        <f>SUM(O9:O23)</f>
        <v>129009543</v>
      </c>
    </row>
    <row r="25" spans="1:16">
      <c r="C25" s="47"/>
      <c r="D25" s="47"/>
      <c r="E25" s="47"/>
    </row>
    <row r="26" spans="1:16" ht="11.25" customHeight="1">
      <c r="C26" s="47" t="s">
        <v>76</v>
      </c>
      <c r="D26" s="47"/>
      <c r="E26" s="47"/>
      <c r="F26" s="129">
        <f>F24-I24</f>
        <v>39450325</v>
      </c>
      <c r="G26" s="44"/>
    </row>
    <row r="27" spans="1:16">
      <c r="C27" s="47"/>
      <c r="D27" s="47"/>
      <c r="E27" s="47"/>
    </row>
    <row r="28" spans="1:16">
      <c r="C28" s="47" t="s">
        <v>16</v>
      </c>
      <c r="D28" s="47"/>
      <c r="E28" s="47"/>
      <c r="F28" s="348">
        <f>C1-I24+O24</f>
        <v>255423182</v>
      </c>
      <c r="G28" s="191"/>
      <c r="L28" s="347"/>
      <c r="N28" s="58">
        <f>SUM(N24+Collapse!L16)</f>
        <v>273345311</v>
      </c>
    </row>
    <row r="29" spans="1:16">
      <c r="H29" s="201"/>
    </row>
    <row r="30" spans="1:16" s="46" customFormat="1">
      <c r="N30" s="129"/>
    </row>
    <row r="31" spans="1:16">
      <c r="H31" s="176"/>
    </row>
    <row r="33" spans="6:6">
      <c r="F33" s="201"/>
    </row>
  </sheetData>
  <phoneticPr fontId="0" type="noConversion"/>
  <pageMargins left="0.75" right="0.75" top="1" bottom="1" header="0.5" footer="0.5"/>
  <pageSetup scale="69" fitToHeight="2" orientation="landscape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8"/>
  <sheetViews>
    <sheetView workbookViewId="0">
      <selection activeCell="B8" sqref="B8"/>
    </sheetView>
  </sheetViews>
  <sheetFormatPr defaultColWidth="10.85546875" defaultRowHeight="12"/>
  <cols>
    <col min="1" max="1" width="8.28515625" style="62" customWidth="1"/>
    <col min="2" max="2" width="10.140625" style="62" customWidth="1"/>
    <col min="3" max="5" width="17.7109375" style="62" customWidth="1"/>
    <col min="6" max="6" width="12.42578125" style="92" bestFit="1" customWidth="1"/>
    <col min="7" max="7" width="11.42578125" style="92" bestFit="1" customWidth="1"/>
    <col min="8" max="8" width="9.85546875" style="62" customWidth="1"/>
    <col min="9" max="9" width="9.5703125" style="62" bestFit="1" customWidth="1"/>
    <col min="10" max="10" width="11.140625" style="92" bestFit="1" customWidth="1"/>
    <col min="11" max="11" width="10.140625" style="62" bestFit="1" customWidth="1"/>
    <col min="12" max="12" width="12.85546875" style="92" bestFit="1" customWidth="1"/>
    <col min="13" max="13" width="12" style="92" bestFit="1" customWidth="1"/>
    <col min="14" max="16384" width="10.85546875" style="62"/>
  </cols>
  <sheetData>
    <row r="1" spans="1:256">
      <c r="A1" s="66" t="s">
        <v>81</v>
      </c>
      <c r="B1" s="67"/>
      <c r="C1" s="68">
        <v>143936141</v>
      </c>
      <c r="D1" s="68"/>
      <c r="E1" s="68"/>
      <c r="F1" s="69"/>
      <c r="G1" s="69"/>
      <c r="H1" s="72"/>
      <c r="I1" s="72"/>
      <c r="J1" s="69"/>
      <c r="K1" s="72"/>
      <c r="L1" s="69"/>
      <c r="M1" s="69"/>
      <c r="N1" s="73">
        <f>'SC1 MRB'!P1</f>
        <v>36893</v>
      </c>
    </row>
    <row r="2" spans="1:256">
      <c r="A2" s="75" t="s">
        <v>0</v>
      </c>
      <c r="B2" s="82"/>
      <c r="C2" s="54"/>
      <c r="D2" s="54"/>
      <c r="E2" s="54"/>
      <c r="F2" s="77"/>
      <c r="G2" s="77"/>
      <c r="H2" s="80"/>
      <c r="I2" s="80"/>
      <c r="J2" s="77"/>
      <c r="K2" s="80"/>
      <c r="L2" s="77"/>
      <c r="M2" s="77"/>
      <c r="N2" s="81"/>
    </row>
    <row r="3" spans="1:256">
      <c r="A3" s="75"/>
      <c r="B3" s="82"/>
      <c r="C3" s="54"/>
      <c r="D3" s="54"/>
      <c r="E3" s="54"/>
      <c r="F3" s="77"/>
      <c r="G3" s="77"/>
      <c r="H3" s="80"/>
      <c r="I3" s="80"/>
      <c r="J3" s="77"/>
      <c r="K3" s="80"/>
      <c r="L3" s="77"/>
      <c r="M3" s="77"/>
      <c r="N3" s="81"/>
    </row>
    <row r="4" spans="1:256">
      <c r="A4" s="83" t="s">
        <v>54</v>
      </c>
      <c r="B4" s="54" t="s">
        <v>66</v>
      </c>
      <c r="C4" s="54" t="s">
        <v>52</v>
      </c>
      <c r="D4" s="76" t="s">
        <v>83</v>
      </c>
      <c r="E4" s="76" t="s">
        <v>79</v>
      </c>
      <c r="F4" s="84" t="s">
        <v>42</v>
      </c>
      <c r="G4" s="84" t="s">
        <v>13</v>
      </c>
      <c r="H4" s="53" t="s">
        <v>26</v>
      </c>
      <c r="I4" s="53" t="s">
        <v>56</v>
      </c>
      <c r="J4" s="84" t="s">
        <v>7</v>
      </c>
      <c r="K4" s="53" t="s">
        <v>40</v>
      </c>
      <c r="L4" s="84" t="s">
        <v>47</v>
      </c>
      <c r="M4" s="84" t="s">
        <v>78</v>
      </c>
      <c r="N4" s="81" t="s">
        <v>48</v>
      </c>
    </row>
    <row r="5" spans="1:256">
      <c r="A5" s="83" t="s">
        <v>82</v>
      </c>
      <c r="B5" s="82"/>
      <c r="D5" s="76"/>
      <c r="E5" s="76"/>
      <c r="F5" s="84" t="s">
        <v>75</v>
      </c>
      <c r="G5" s="84" t="s">
        <v>75</v>
      </c>
      <c r="H5" s="53" t="s">
        <v>14</v>
      </c>
      <c r="I5" s="53" t="s">
        <v>35</v>
      </c>
      <c r="J5" s="84" t="s">
        <v>75</v>
      </c>
      <c r="K5" s="53" t="s">
        <v>35</v>
      </c>
      <c r="L5" s="84" t="s">
        <v>75</v>
      </c>
      <c r="M5" s="84" t="s">
        <v>75</v>
      </c>
      <c r="N5" s="81" t="s">
        <v>8</v>
      </c>
    </row>
    <row r="6" spans="1:256" s="47" customFormat="1" ht="12.75" thickBot="1">
      <c r="A6" s="98" t="s">
        <v>32</v>
      </c>
      <c r="B6" s="99"/>
      <c r="C6" s="85"/>
      <c r="D6" s="100"/>
      <c r="E6" s="100"/>
      <c r="F6" s="137"/>
      <c r="G6" s="137"/>
      <c r="H6" s="101"/>
      <c r="I6" s="101"/>
      <c r="J6" s="137"/>
      <c r="K6" s="101"/>
      <c r="L6" s="137"/>
      <c r="M6" s="137"/>
      <c r="N6" s="102" t="s">
        <v>14</v>
      </c>
      <c r="O6" s="62"/>
      <c r="P6" s="62"/>
      <c r="Q6" s="62"/>
      <c r="R6" s="62"/>
      <c r="S6" s="62"/>
      <c r="T6" s="62"/>
    </row>
    <row r="7" spans="1:256" s="47" customFormat="1">
      <c r="A7" s="54"/>
      <c r="B7" s="82"/>
      <c r="C7" s="76"/>
      <c r="D7" s="76"/>
      <c r="E7" s="76"/>
      <c r="F7" s="84"/>
      <c r="G7" s="84"/>
      <c r="H7" s="53"/>
      <c r="I7" s="53"/>
      <c r="J7" s="84"/>
      <c r="K7" s="53"/>
      <c r="L7" s="84"/>
      <c r="M7" s="84"/>
      <c r="N7" s="53"/>
      <c r="O7" s="62"/>
      <c r="P7" s="62"/>
      <c r="Q7" s="62"/>
      <c r="R7" s="62"/>
      <c r="S7" s="62"/>
      <c r="T7" s="62"/>
    </row>
    <row r="8" spans="1:256">
      <c r="A8" s="82"/>
      <c r="B8" s="82" t="s">
        <v>89</v>
      </c>
      <c r="C8" s="96"/>
      <c r="D8" s="96"/>
      <c r="E8" s="96"/>
      <c r="F8" s="77"/>
      <c r="G8" s="77"/>
      <c r="H8" s="80"/>
      <c r="I8" s="80"/>
      <c r="J8" s="77"/>
      <c r="K8" s="80"/>
      <c r="L8" s="77"/>
      <c r="M8" s="77"/>
      <c r="N8" s="80"/>
    </row>
    <row r="9" spans="1:256">
      <c r="A9" s="82"/>
      <c r="C9" s="96"/>
      <c r="D9" s="96"/>
      <c r="E9" s="96"/>
      <c r="F9" s="77"/>
      <c r="G9" s="77"/>
      <c r="H9" s="80"/>
      <c r="I9" s="80"/>
      <c r="J9" s="77"/>
      <c r="K9" s="80"/>
      <c r="L9" s="77"/>
      <c r="M9" s="77"/>
      <c r="N9" s="80"/>
    </row>
    <row r="10" spans="1:256" s="82" customFormat="1" ht="12.75" thickBot="1">
      <c r="A10" s="62"/>
      <c r="C10" s="47" t="s">
        <v>10</v>
      </c>
      <c r="D10" s="47"/>
      <c r="E10" s="47"/>
      <c r="F10" s="168">
        <f>SUM(F8:F9)</f>
        <v>0</v>
      </c>
      <c r="G10" s="168">
        <f>SUM(G8:G9)</f>
        <v>0</v>
      </c>
      <c r="H10" s="60"/>
      <c r="I10" s="60"/>
      <c r="J10" s="168">
        <f>SUM(J8:J9)</f>
        <v>0</v>
      </c>
      <c r="K10" s="79"/>
      <c r="L10" s="168">
        <f>SUM(L8:L9)</f>
        <v>0</v>
      </c>
      <c r="M10" s="168">
        <f>SUM(M8:M9)</f>
        <v>0</v>
      </c>
      <c r="N10" s="49"/>
      <c r="O10" s="62"/>
      <c r="P10" s="62"/>
      <c r="Q10" s="62"/>
      <c r="R10" s="62"/>
      <c r="S10" s="62"/>
      <c r="T10" s="62"/>
    </row>
    <row r="11" spans="1:256" s="74" customFormat="1">
      <c r="A11" s="62"/>
      <c r="B11" s="62"/>
      <c r="C11" s="47"/>
      <c r="D11" s="47"/>
      <c r="E11" s="47"/>
      <c r="F11" s="48"/>
      <c r="G11" s="92"/>
      <c r="H11" s="60"/>
      <c r="I11" s="60"/>
      <c r="J11" s="92"/>
      <c r="K11" s="60"/>
      <c r="L11" s="92"/>
      <c r="M11" s="92"/>
      <c r="N11" s="62"/>
      <c r="O11" s="62"/>
      <c r="P11" s="62"/>
      <c r="Q11" s="62"/>
      <c r="R11" s="62"/>
      <c r="S11" s="62"/>
      <c r="T11" s="6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2"/>
      <c r="CO11" s="82"/>
      <c r="CP11" s="82"/>
      <c r="CQ11" s="82"/>
      <c r="CR11" s="82"/>
      <c r="CS11" s="82"/>
      <c r="CT11" s="82"/>
      <c r="CU11" s="82"/>
      <c r="CV11" s="82"/>
      <c r="CW11" s="82"/>
      <c r="CX11" s="82"/>
      <c r="CY11" s="82"/>
      <c r="CZ11" s="82"/>
      <c r="DA11" s="82"/>
      <c r="DB11" s="82"/>
      <c r="DC11" s="82"/>
      <c r="DD11" s="82"/>
      <c r="DE11" s="82"/>
      <c r="DF11" s="82"/>
      <c r="DG11" s="82"/>
      <c r="DH11" s="82"/>
      <c r="DI11" s="82"/>
      <c r="DJ11" s="82"/>
      <c r="DK11" s="82"/>
      <c r="DL11" s="82"/>
      <c r="DM11" s="82"/>
      <c r="DN11" s="82"/>
      <c r="DO11" s="82"/>
      <c r="DP11" s="82"/>
      <c r="DQ11" s="82"/>
      <c r="DR11" s="82"/>
      <c r="DS11" s="82"/>
      <c r="DT11" s="82"/>
      <c r="DU11" s="82"/>
      <c r="DV11" s="82"/>
      <c r="DW11" s="82"/>
      <c r="DX11" s="82"/>
      <c r="DY11" s="82"/>
      <c r="DZ11" s="82"/>
      <c r="EA11" s="82"/>
      <c r="EB11" s="82"/>
      <c r="EC11" s="82"/>
      <c r="ED11" s="82"/>
      <c r="EE11" s="82"/>
      <c r="EF11" s="82"/>
      <c r="EG11" s="82"/>
      <c r="EH11" s="82"/>
      <c r="EI11" s="82"/>
      <c r="EJ11" s="82"/>
      <c r="EK11" s="82"/>
      <c r="EL11" s="82"/>
      <c r="EM11" s="82"/>
      <c r="EN11" s="82"/>
      <c r="EO11" s="82"/>
      <c r="EP11" s="82"/>
      <c r="EQ11" s="82"/>
      <c r="ER11" s="82"/>
      <c r="ES11" s="82"/>
      <c r="ET11" s="82"/>
      <c r="EU11" s="82"/>
      <c r="EV11" s="82"/>
      <c r="EW11" s="82"/>
      <c r="EX11" s="82"/>
      <c r="EY11" s="82"/>
      <c r="EZ11" s="82"/>
      <c r="FA11" s="82"/>
      <c r="FB11" s="82"/>
      <c r="FC11" s="82"/>
      <c r="FD11" s="82"/>
      <c r="FE11" s="82"/>
      <c r="FF11" s="82"/>
      <c r="FG11" s="82"/>
      <c r="FH11" s="82"/>
      <c r="FI11" s="82"/>
      <c r="FJ11" s="82"/>
      <c r="FK11" s="82"/>
      <c r="FL11" s="82"/>
      <c r="FM11" s="82"/>
      <c r="FN11" s="82"/>
      <c r="FO11" s="82"/>
      <c r="FP11" s="82"/>
      <c r="FQ11" s="82"/>
      <c r="FR11" s="82"/>
      <c r="FS11" s="82"/>
      <c r="FT11" s="82"/>
      <c r="FU11" s="82"/>
      <c r="FV11" s="82"/>
      <c r="FW11" s="82"/>
      <c r="FX11" s="82"/>
      <c r="FY11" s="82"/>
      <c r="FZ11" s="82"/>
      <c r="GA11" s="82"/>
      <c r="GB11" s="82"/>
      <c r="GC11" s="82"/>
      <c r="GD11" s="82"/>
      <c r="GE11" s="82"/>
      <c r="GF11" s="82"/>
      <c r="GG11" s="82"/>
      <c r="GH11" s="82"/>
      <c r="GI11" s="82"/>
      <c r="GJ11" s="82"/>
      <c r="GK11" s="82"/>
      <c r="GL11" s="82"/>
      <c r="GM11" s="82"/>
      <c r="GN11" s="82"/>
      <c r="GO11" s="82"/>
      <c r="GP11" s="82"/>
      <c r="GQ11" s="82"/>
      <c r="GR11" s="82"/>
      <c r="GS11" s="82"/>
      <c r="GT11" s="82"/>
      <c r="GU11" s="82"/>
      <c r="GV11" s="82"/>
      <c r="GW11" s="82"/>
      <c r="GX11" s="82"/>
      <c r="GY11" s="82"/>
      <c r="GZ11" s="82"/>
      <c r="HA11" s="82"/>
      <c r="HB11" s="82"/>
      <c r="HC11" s="82"/>
      <c r="HD11" s="82"/>
      <c r="HE11" s="82"/>
      <c r="HF11" s="82"/>
      <c r="HG11" s="82"/>
      <c r="HH11" s="82"/>
      <c r="HI11" s="82"/>
      <c r="HJ11" s="82"/>
      <c r="HK11" s="82"/>
      <c r="HL11" s="82"/>
      <c r="HM11" s="82"/>
      <c r="HN11" s="82"/>
      <c r="HO11" s="82"/>
      <c r="HP11" s="82"/>
      <c r="HQ11" s="82"/>
      <c r="HR11" s="82"/>
      <c r="HS11" s="82"/>
      <c r="HT11" s="82"/>
      <c r="HU11" s="82"/>
      <c r="HV11" s="82"/>
      <c r="HW11" s="82"/>
      <c r="HX11" s="82"/>
      <c r="HY11" s="82"/>
      <c r="HZ11" s="82"/>
      <c r="IA11" s="82"/>
      <c r="IB11" s="82"/>
      <c r="IC11" s="82"/>
      <c r="ID11" s="82"/>
      <c r="IE11" s="82"/>
      <c r="IF11" s="82"/>
      <c r="IG11" s="82"/>
      <c r="IH11" s="82"/>
      <c r="II11" s="82"/>
      <c r="IJ11" s="82"/>
      <c r="IK11" s="82"/>
      <c r="IL11" s="82"/>
      <c r="IM11" s="82"/>
      <c r="IN11" s="82"/>
      <c r="IO11" s="82"/>
      <c r="IP11" s="82"/>
      <c r="IQ11" s="82"/>
      <c r="IR11" s="82"/>
      <c r="IS11" s="82"/>
      <c r="IT11" s="82"/>
      <c r="IU11" s="82"/>
      <c r="IV11" s="82"/>
    </row>
    <row r="12" spans="1:256">
      <c r="C12" s="47" t="s">
        <v>76</v>
      </c>
      <c r="D12" s="47"/>
      <c r="E12" s="47"/>
      <c r="F12" s="92">
        <f>SUM(F10-G10)</f>
        <v>0</v>
      </c>
      <c r="H12" s="60"/>
      <c r="I12" s="60"/>
      <c r="K12" s="60"/>
    </row>
    <row r="13" spans="1:256" s="47" customFormat="1">
      <c r="A13" s="62"/>
      <c r="B13" s="62"/>
      <c r="F13" s="92"/>
      <c r="G13" s="92"/>
      <c r="H13" s="60"/>
      <c r="I13" s="60"/>
      <c r="J13" s="92"/>
      <c r="K13" s="60"/>
      <c r="L13" s="92" t="s">
        <v>12</v>
      </c>
      <c r="M13" s="92"/>
      <c r="N13" s="62"/>
      <c r="O13" s="62"/>
      <c r="P13" s="62"/>
      <c r="Q13" s="62"/>
      <c r="R13" s="62"/>
      <c r="S13" s="62"/>
      <c r="T13" s="62"/>
    </row>
    <row r="14" spans="1:256" s="47" customFormat="1">
      <c r="A14" s="62"/>
      <c r="B14" s="62"/>
      <c r="C14" s="47" t="s">
        <v>16</v>
      </c>
      <c r="F14" s="168">
        <f>C1-G10+M10</f>
        <v>143936141</v>
      </c>
      <c r="G14" s="92"/>
      <c r="H14" s="60"/>
      <c r="I14" s="60"/>
      <c r="J14" s="92"/>
      <c r="K14" s="106"/>
      <c r="L14" s="92"/>
      <c r="M14" s="92"/>
      <c r="N14" s="62"/>
      <c r="O14" s="62"/>
      <c r="P14" s="62"/>
      <c r="Q14" s="62"/>
      <c r="R14" s="62"/>
      <c r="S14" s="62"/>
      <c r="T14" s="62"/>
    </row>
    <row r="16" spans="1:256">
      <c r="C16" s="47"/>
      <c r="D16" s="47"/>
      <c r="E16" s="47"/>
      <c r="G16" s="403"/>
      <c r="H16" s="403"/>
    </row>
    <row r="18" spans="3:6">
      <c r="C18" s="47"/>
      <c r="D18" s="47"/>
      <c r="E18" s="47"/>
      <c r="F18" s="93"/>
    </row>
  </sheetData>
  <mergeCells count="1">
    <mergeCell ref="G16:H16"/>
  </mergeCells>
  <phoneticPr fontId="0" type="noConversion"/>
  <pageMargins left="0.75" right="0.75" top="1" bottom="1" header="0.5" footer="0.5"/>
  <pageSetup scale="92" orientation="landscape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9"/>
  <sheetViews>
    <sheetView workbookViewId="0">
      <pane ySplit="6" topLeftCell="A7" activePane="bottomLeft" state="frozen"/>
      <selection activeCell="C12" sqref="C12"/>
      <selection pane="bottomLeft" activeCell="E9" sqref="E9"/>
    </sheetView>
  </sheetViews>
  <sheetFormatPr defaultColWidth="10.85546875" defaultRowHeight="12"/>
  <cols>
    <col min="1" max="1" width="8.28515625" style="62" customWidth="1"/>
    <col min="2" max="2" width="7.85546875" style="62" bestFit="1" customWidth="1"/>
    <col min="3" max="3" width="13.85546875" style="62" bestFit="1" customWidth="1"/>
    <col min="4" max="4" width="14.85546875" style="62" bestFit="1" customWidth="1"/>
    <col min="5" max="5" width="10.28515625" style="62" bestFit="1" customWidth="1"/>
    <col min="6" max="6" width="12.42578125" style="92" bestFit="1" customWidth="1"/>
    <col min="7" max="7" width="11.42578125" style="92" bestFit="1" customWidth="1"/>
    <col min="8" max="8" width="13.7109375" style="62" customWidth="1"/>
    <col min="9" max="9" width="11.140625" style="62" customWidth="1"/>
    <col min="10" max="10" width="13" style="92" customWidth="1"/>
    <col min="11" max="11" width="9.5703125" style="62" bestFit="1" customWidth="1"/>
    <col min="12" max="12" width="12.85546875" style="92" bestFit="1" customWidth="1"/>
    <col min="13" max="13" width="12.28515625" style="92" bestFit="1" customWidth="1"/>
    <col min="14" max="16384" width="10.85546875" style="62"/>
  </cols>
  <sheetData>
    <row r="1" spans="1:20" s="74" customFormat="1">
      <c r="A1" s="66" t="s">
        <v>44</v>
      </c>
      <c r="B1" s="67"/>
      <c r="C1" s="68">
        <v>35984035</v>
      </c>
      <c r="D1" s="68"/>
      <c r="E1" s="68"/>
      <c r="F1" s="69"/>
      <c r="G1" s="69"/>
      <c r="H1" s="72"/>
      <c r="I1" s="70" t="s">
        <v>27</v>
      </c>
      <c r="J1" s="71">
        <f>C1-J2</f>
        <v>23989356.666666664</v>
      </c>
      <c r="K1" s="72"/>
      <c r="L1" s="69"/>
      <c r="M1" s="69"/>
      <c r="N1" s="73">
        <f>'SC1 MRB'!P1</f>
        <v>36893</v>
      </c>
      <c r="O1" s="62"/>
      <c r="P1" s="62"/>
      <c r="Q1" s="62"/>
      <c r="R1" s="62"/>
      <c r="S1" s="62"/>
      <c r="T1" s="62"/>
    </row>
    <row r="2" spans="1:20" s="82" customFormat="1">
      <c r="A2" s="75" t="s">
        <v>65</v>
      </c>
      <c r="B2" s="54"/>
      <c r="C2" s="76"/>
      <c r="D2" s="76"/>
      <c r="E2" s="76"/>
      <c r="F2" s="77"/>
      <c r="G2" s="77"/>
      <c r="H2" s="80"/>
      <c r="I2" s="78" t="s">
        <v>64</v>
      </c>
      <c r="J2" s="96">
        <f>SUM(C1/3*1)</f>
        <v>11994678.333333334</v>
      </c>
      <c r="K2" s="80" t="s">
        <v>34</v>
      </c>
      <c r="L2" s="77"/>
      <c r="M2" s="77"/>
      <c r="N2" s="81"/>
      <c r="O2" s="62"/>
      <c r="P2" s="62"/>
      <c r="Q2" s="62"/>
      <c r="R2" s="62"/>
      <c r="S2" s="62"/>
      <c r="T2" s="62"/>
    </row>
    <row r="3" spans="1:20" s="82" customFormat="1">
      <c r="A3" s="75"/>
      <c r="B3" s="54"/>
      <c r="C3" s="76"/>
      <c r="D3" s="76"/>
      <c r="E3" s="76"/>
      <c r="F3" s="77"/>
      <c r="G3" s="77"/>
      <c r="H3" s="80"/>
      <c r="I3" s="80"/>
      <c r="J3" s="77"/>
      <c r="K3" s="80"/>
      <c r="L3" s="77"/>
      <c r="M3" s="77"/>
      <c r="N3" s="81"/>
      <c r="O3" s="62"/>
      <c r="P3" s="62"/>
      <c r="Q3" s="62"/>
      <c r="R3" s="62"/>
      <c r="S3" s="62"/>
      <c r="T3" s="62"/>
    </row>
    <row r="4" spans="1:20" s="47" customFormat="1">
      <c r="A4" s="83" t="s">
        <v>54</v>
      </c>
      <c r="B4" s="54" t="s">
        <v>66</v>
      </c>
      <c r="D4" s="54"/>
      <c r="E4" s="54"/>
      <c r="F4" s="84" t="s">
        <v>42</v>
      </c>
      <c r="G4" s="84" t="s">
        <v>13</v>
      </c>
      <c r="H4" s="53" t="s">
        <v>26</v>
      </c>
      <c r="I4" s="53" t="s">
        <v>56</v>
      </c>
      <c r="J4" s="84" t="s">
        <v>7</v>
      </c>
      <c r="K4" s="53" t="s">
        <v>72</v>
      </c>
      <c r="L4" s="84" t="s">
        <v>47</v>
      </c>
      <c r="M4" s="84" t="s">
        <v>78</v>
      </c>
      <c r="N4" s="81" t="s">
        <v>41</v>
      </c>
      <c r="O4" s="62"/>
      <c r="P4" s="62"/>
      <c r="Q4" s="62"/>
      <c r="R4" s="62"/>
      <c r="S4" s="62"/>
      <c r="T4" s="62"/>
    </row>
    <row r="5" spans="1:20" s="47" customFormat="1">
      <c r="A5" s="83" t="s">
        <v>82</v>
      </c>
      <c r="B5" s="82"/>
      <c r="D5" s="76"/>
      <c r="E5" s="76"/>
      <c r="F5" s="84" t="s">
        <v>75</v>
      </c>
      <c r="G5" s="84" t="s">
        <v>75</v>
      </c>
      <c r="H5" s="53" t="s">
        <v>14</v>
      </c>
      <c r="I5" s="53" t="s">
        <v>35</v>
      </c>
      <c r="J5" s="84" t="s">
        <v>75</v>
      </c>
      <c r="K5" s="53" t="s">
        <v>35</v>
      </c>
      <c r="L5" s="84" t="s">
        <v>75</v>
      </c>
      <c r="M5" s="84" t="s">
        <v>75</v>
      </c>
      <c r="N5" s="81" t="s">
        <v>8</v>
      </c>
      <c r="O5" s="62"/>
      <c r="P5" s="62"/>
      <c r="Q5" s="62"/>
      <c r="R5" s="62"/>
      <c r="S5" s="62"/>
      <c r="T5" s="62"/>
    </row>
    <row r="6" spans="1:20" s="85" customFormat="1" ht="12.75" thickBot="1">
      <c r="A6" s="98" t="s">
        <v>32</v>
      </c>
      <c r="B6" s="99"/>
      <c r="C6" s="85" t="s">
        <v>52</v>
      </c>
      <c r="D6" s="100" t="s">
        <v>83</v>
      </c>
      <c r="E6" s="100" t="s">
        <v>79</v>
      </c>
      <c r="F6" s="137"/>
      <c r="G6" s="137"/>
      <c r="H6" s="101"/>
      <c r="I6" s="101"/>
      <c r="J6" s="137"/>
      <c r="K6" s="101"/>
      <c r="L6" s="137"/>
      <c r="M6" s="137"/>
      <c r="N6" s="102" t="s">
        <v>14</v>
      </c>
      <c r="O6" s="62"/>
      <c r="P6" s="62"/>
      <c r="Q6" s="62"/>
      <c r="R6" s="62"/>
      <c r="S6" s="62"/>
      <c r="T6" s="62"/>
    </row>
    <row r="7" spans="1:20">
      <c r="A7" s="47"/>
      <c r="B7" s="47"/>
      <c r="F7" s="62"/>
      <c r="G7" s="47"/>
      <c r="I7" s="47"/>
    </row>
    <row r="8" spans="1:20">
      <c r="A8" s="64">
        <v>3010</v>
      </c>
      <c r="B8" s="223" t="s">
        <v>395</v>
      </c>
      <c r="C8" s="108" t="s">
        <v>398</v>
      </c>
      <c r="D8" s="62" t="s">
        <v>399</v>
      </c>
      <c r="E8" s="62" t="s">
        <v>400</v>
      </c>
      <c r="F8" s="159">
        <v>1000000</v>
      </c>
      <c r="G8" s="159">
        <v>1000000</v>
      </c>
      <c r="H8" s="60">
        <v>36925</v>
      </c>
      <c r="I8" s="272">
        <f>SUM(H8+35)</f>
        <v>36960</v>
      </c>
      <c r="J8" s="77">
        <v>1000000</v>
      </c>
      <c r="K8" s="272">
        <f>SUM(H8+120)</f>
        <v>37045</v>
      </c>
      <c r="L8" s="159">
        <v>1000000</v>
      </c>
      <c r="M8" s="159">
        <v>0</v>
      </c>
      <c r="N8" s="222">
        <v>36980</v>
      </c>
    </row>
    <row r="9" spans="1:20" s="43" customFormat="1">
      <c r="A9" s="43">
        <v>3022</v>
      </c>
      <c r="B9" s="108" t="s">
        <v>395</v>
      </c>
      <c r="C9" s="43" t="s">
        <v>463</v>
      </c>
      <c r="D9" s="43" t="s">
        <v>469</v>
      </c>
      <c r="E9" s="320" t="s">
        <v>470</v>
      </c>
      <c r="F9" s="187">
        <v>3225000</v>
      </c>
      <c r="G9" s="187">
        <v>3225000</v>
      </c>
      <c r="H9" s="60">
        <v>36980</v>
      </c>
      <c r="I9" s="272">
        <f>SUM(H9+35)</f>
        <v>37015</v>
      </c>
      <c r="J9" s="77">
        <v>3225000</v>
      </c>
      <c r="K9" s="272">
        <f>SUM(H9+120)</f>
        <v>37100</v>
      </c>
      <c r="L9" s="184">
        <v>3225000</v>
      </c>
      <c r="M9" s="184">
        <v>0</v>
      </c>
      <c r="N9" s="45">
        <v>37006</v>
      </c>
    </row>
    <row r="10" spans="1:20" s="55" customFormat="1">
      <c r="A10" s="54"/>
      <c r="B10" s="82"/>
      <c r="C10" s="86"/>
      <c r="D10" s="86"/>
      <c r="E10" s="86"/>
      <c r="F10" s="165"/>
      <c r="G10" s="166"/>
      <c r="H10" s="53"/>
      <c r="I10" s="53"/>
      <c r="J10" s="77"/>
      <c r="K10" s="53"/>
      <c r="L10" s="165"/>
      <c r="M10" s="166"/>
      <c r="N10" s="53"/>
      <c r="O10" s="43"/>
      <c r="P10" s="43"/>
      <c r="Q10" s="43"/>
    </row>
    <row r="11" spans="1:20">
      <c r="B11" s="82"/>
      <c r="C11" s="47" t="s">
        <v>10</v>
      </c>
      <c r="D11" s="47"/>
      <c r="E11" s="47"/>
      <c r="F11" s="167">
        <f>SUM(F7:F10)</f>
        <v>4225000</v>
      </c>
      <c r="G11" s="167">
        <f>SUM(G7:G10)</f>
        <v>4225000</v>
      </c>
      <c r="H11" s="60"/>
      <c r="I11" s="60"/>
      <c r="J11" s="167">
        <f>SUM(J7:J10)</f>
        <v>4225000</v>
      </c>
      <c r="K11" s="79"/>
      <c r="L11" s="167">
        <f>SUM(L7:L10)</f>
        <v>4225000</v>
      </c>
      <c r="M11" s="167">
        <f>SUM(M7:M10)</f>
        <v>0</v>
      </c>
      <c r="N11" s="49"/>
    </row>
    <row r="12" spans="1:20">
      <c r="B12" s="82"/>
      <c r="C12" s="47"/>
      <c r="D12" s="47"/>
      <c r="E12" s="47"/>
      <c r="F12" s="165"/>
      <c r="G12" s="159"/>
      <c r="H12" s="60"/>
      <c r="I12" s="60"/>
      <c r="J12" s="77"/>
      <c r="K12" s="79"/>
      <c r="L12" s="77"/>
      <c r="M12" s="77"/>
      <c r="N12" s="49"/>
    </row>
    <row r="13" spans="1:20">
      <c r="C13" s="47" t="s">
        <v>76</v>
      </c>
      <c r="D13" s="47"/>
      <c r="E13" s="47"/>
      <c r="F13" s="159">
        <f>SUM(F11-G11)</f>
        <v>0</v>
      </c>
      <c r="G13" s="159"/>
      <c r="H13" s="60"/>
      <c r="I13" s="60"/>
      <c r="K13" s="60"/>
    </row>
    <row r="14" spans="1:20">
      <c r="C14" s="47"/>
      <c r="D14" s="47"/>
      <c r="E14" s="47"/>
      <c r="F14" s="159"/>
      <c r="G14" s="159"/>
      <c r="H14" s="60"/>
      <c r="I14" s="60"/>
      <c r="K14" s="60"/>
    </row>
    <row r="15" spans="1:20" s="47" customFormat="1">
      <c r="A15" s="62"/>
      <c r="B15" s="62"/>
      <c r="C15" s="47" t="s">
        <v>16</v>
      </c>
      <c r="F15" s="167">
        <f>+C1-G11+M11</f>
        <v>31759035</v>
      </c>
      <c r="G15" s="224"/>
      <c r="H15" s="60"/>
      <c r="I15" s="60"/>
      <c r="J15" s="92"/>
      <c r="K15" s="106"/>
      <c r="L15" s="92"/>
      <c r="M15" s="92"/>
      <c r="N15" s="62"/>
      <c r="O15" s="62"/>
      <c r="P15" s="62"/>
      <c r="Q15" s="62"/>
      <c r="R15" s="62"/>
      <c r="S15" s="62"/>
      <c r="T15" s="62"/>
    </row>
    <row r="16" spans="1:20">
      <c r="A16" s="108"/>
      <c r="H16" s="60"/>
      <c r="I16" s="60"/>
      <c r="K16" s="60"/>
      <c r="N16" s="49"/>
      <c r="O16" s="54"/>
      <c r="P16" s="54"/>
      <c r="Q16" s="54"/>
      <c r="R16" s="54"/>
      <c r="S16" s="54"/>
      <c r="T16" s="54"/>
    </row>
    <row r="17" spans="3:8">
      <c r="C17" s="47"/>
      <c r="D17" s="47"/>
      <c r="E17" s="47"/>
      <c r="G17" s="403"/>
      <c r="H17" s="403"/>
    </row>
    <row r="19" spans="3:8">
      <c r="C19" s="47"/>
      <c r="D19" s="47"/>
      <c r="E19" s="47"/>
      <c r="F19" s="93"/>
    </row>
  </sheetData>
  <mergeCells count="1">
    <mergeCell ref="G17:H17"/>
  </mergeCells>
  <phoneticPr fontId="0" type="noConversion"/>
  <pageMargins left="0.75" right="0.75" top="1" bottom="1" header="0.5" footer="0.5"/>
  <pageSetup scale="85" fitToHeight="0" orientation="landscape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workbookViewId="0">
      <selection activeCell="D17" sqref="D17"/>
    </sheetView>
  </sheetViews>
  <sheetFormatPr defaultColWidth="10.85546875" defaultRowHeight="12"/>
  <cols>
    <col min="1" max="1" width="8.28515625" style="62" customWidth="1"/>
    <col min="2" max="2" width="7.85546875" style="62" bestFit="1" customWidth="1"/>
    <col min="3" max="3" width="10.140625" style="62" bestFit="1" customWidth="1"/>
    <col min="4" max="4" width="8.85546875" style="62" bestFit="1" customWidth="1"/>
    <col min="5" max="5" width="10.28515625" style="62" bestFit="1" customWidth="1"/>
    <col min="6" max="6" width="11.28515625" style="139" bestFit="1" customWidth="1"/>
    <col min="7" max="7" width="12.28515625" style="92" bestFit="1" customWidth="1"/>
    <col min="8" max="8" width="11" style="62" customWidth="1"/>
    <col min="9" max="9" width="9.5703125" style="62" bestFit="1" customWidth="1"/>
    <col min="10" max="10" width="11.7109375" style="92" bestFit="1" customWidth="1"/>
    <col min="11" max="11" width="10.140625" style="62" bestFit="1" customWidth="1"/>
    <col min="12" max="12" width="14.140625" style="61" customWidth="1"/>
    <col min="13" max="13" width="12.85546875" style="61" bestFit="1" customWidth="1"/>
    <col min="14" max="16384" width="10.85546875" style="62"/>
  </cols>
  <sheetData>
    <row r="1" spans="1:20" s="74" customFormat="1">
      <c r="A1" s="66" t="s">
        <v>19</v>
      </c>
      <c r="B1" s="67"/>
      <c r="C1" s="68">
        <v>39582439</v>
      </c>
      <c r="D1" s="68"/>
      <c r="E1" s="68"/>
      <c r="F1" s="134"/>
      <c r="G1" s="69"/>
      <c r="H1" s="72"/>
      <c r="I1" s="72"/>
      <c r="J1" s="69"/>
      <c r="K1" s="72"/>
      <c r="L1" s="109"/>
      <c r="M1" s="109"/>
      <c r="N1" s="73">
        <v>36630</v>
      </c>
      <c r="O1" s="54"/>
      <c r="P1" s="54"/>
      <c r="Q1" s="54"/>
      <c r="R1" s="54"/>
      <c r="S1" s="54"/>
      <c r="T1" s="54"/>
    </row>
    <row r="2" spans="1:20" s="82" customFormat="1">
      <c r="A2" s="75" t="s">
        <v>3</v>
      </c>
      <c r="B2" s="54"/>
      <c r="C2" s="76"/>
      <c r="D2" s="76"/>
      <c r="E2" s="76"/>
      <c r="F2" s="135"/>
      <c r="G2" s="77"/>
      <c r="H2" s="80"/>
      <c r="I2" s="80"/>
      <c r="J2" s="77"/>
      <c r="K2" s="80"/>
      <c r="L2" s="113"/>
      <c r="M2" s="113"/>
      <c r="N2" s="81"/>
      <c r="O2" s="54"/>
      <c r="P2" s="54"/>
      <c r="Q2" s="54"/>
      <c r="R2" s="54"/>
      <c r="S2" s="54"/>
      <c r="T2" s="54"/>
    </row>
    <row r="3" spans="1:20">
      <c r="A3" s="83"/>
      <c r="B3" s="82"/>
      <c r="C3" s="54"/>
      <c r="D3" s="54"/>
      <c r="E3" s="54"/>
      <c r="F3" s="135"/>
      <c r="G3" s="77"/>
      <c r="H3" s="80"/>
      <c r="I3" s="80"/>
      <c r="J3" s="77"/>
      <c r="K3" s="80"/>
      <c r="L3" s="111"/>
      <c r="M3" s="111"/>
      <c r="N3" s="81"/>
      <c r="O3" s="54"/>
      <c r="P3" s="54"/>
      <c r="Q3" s="54"/>
      <c r="R3" s="54"/>
      <c r="S3" s="54"/>
      <c r="T3" s="54"/>
    </row>
    <row r="4" spans="1:20" s="47" customFormat="1">
      <c r="A4" s="83" t="s">
        <v>54</v>
      </c>
      <c r="B4" s="54" t="s">
        <v>66</v>
      </c>
      <c r="C4" s="54" t="s">
        <v>52</v>
      </c>
      <c r="D4" s="54" t="s">
        <v>83</v>
      </c>
      <c r="E4" s="54" t="s">
        <v>79</v>
      </c>
      <c r="F4" s="136" t="s">
        <v>42</v>
      </c>
      <c r="G4" s="84" t="s">
        <v>137</v>
      </c>
      <c r="H4" s="53" t="s">
        <v>26</v>
      </c>
      <c r="I4" s="53" t="s">
        <v>56</v>
      </c>
      <c r="J4" s="84" t="s">
        <v>7</v>
      </c>
      <c r="K4" s="53" t="s">
        <v>95</v>
      </c>
      <c r="L4" s="113" t="s">
        <v>47</v>
      </c>
      <c r="M4" s="113" t="s">
        <v>78</v>
      </c>
      <c r="N4" s="81" t="s">
        <v>41</v>
      </c>
      <c r="O4" s="54"/>
      <c r="P4" s="54"/>
      <c r="Q4" s="54"/>
      <c r="R4" s="54"/>
      <c r="S4" s="54"/>
      <c r="T4" s="54"/>
    </row>
    <row r="5" spans="1:20" s="54" customFormat="1">
      <c r="A5" s="83" t="s">
        <v>82</v>
      </c>
      <c r="B5" s="82"/>
      <c r="C5" s="76"/>
      <c r="D5" s="76"/>
      <c r="E5" s="76"/>
      <c r="F5" s="136" t="s">
        <v>75</v>
      </c>
      <c r="G5" s="84" t="s">
        <v>138</v>
      </c>
      <c r="H5" s="53" t="s">
        <v>14</v>
      </c>
      <c r="I5" s="53" t="s">
        <v>35</v>
      </c>
      <c r="J5" s="84" t="s">
        <v>75</v>
      </c>
      <c r="K5" s="53" t="s">
        <v>35</v>
      </c>
      <c r="L5" s="113" t="s">
        <v>75</v>
      </c>
      <c r="M5" s="113" t="s">
        <v>75</v>
      </c>
      <c r="N5" s="81" t="s">
        <v>8</v>
      </c>
    </row>
    <row r="6" spans="1:20" s="47" customFormat="1" ht="12.75" thickBot="1">
      <c r="A6" s="98" t="s">
        <v>53</v>
      </c>
      <c r="B6" s="85"/>
      <c r="C6" s="85"/>
      <c r="D6" s="85"/>
      <c r="E6" s="85"/>
      <c r="F6" s="138"/>
      <c r="G6" s="137"/>
      <c r="H6" s="101"/>
      <c r="I6" s="101"/>
      <c r="J6" s="137"/>
      <c r="K6" s="101"/>
      <c r="L6" s="115"/>
      <c r="M6" s="115"/>
      <c r="N6" s="102" t="s">
        <v>14</v>
      </c>
      <c r="O6" s="54"/>
      <c r="P6" s="54"/>
      <c r="Q6" s="54"/>
      <c r="R6" s="54"/>
      <c r="S6" s="54"/>
      <c r="T6" s="54"/>
    </row>
    <row r="7" spans="1:20" s="82" customFormat="1">
      <c r="A7" s="117"/>
      <c r="B7" s="62"/>
      <c r="C7" s="62"/>
      <c r="D7" s="62"/>
      <c r="E7" s="62"/>
      <c r="F7" s="139"/>
      <c r="G7" s="92"/>
      <c r="H7" s="60"/>
      <c r="I7" s="60"/>
      <c r="J7" s="92"/>
      <c r="K7" s="60"/>
      <c r="L7" s="61"/>
      <c r="M7" s="61"/>
      <c r="N7" s="60"/>
    </row>
    <row r="8" spans="1:20">
      <c r="A8" s="82"/>
      <c r="B8" s="47"/>
      <c r="G8" s="48"/>
      <c r="H8" s="60"/>
      <c r="I8" s="47"/>
      <c r="L8" s="93"/>
      <c r="M8" s="93"/>
    </row>
    <row r="9" spans="1:20" s="55" customFormat="1">
      <c r="A9" s="82"/>
      <c r="B9" s="82"/>
      <c r="C9" s="82" t="s">
        <v>36</v>
      </c>
      <c r="D9" s="82"/>
      <c r="E9" s="82"/>
      <c r="F9" s="167">
        <f>SUM(F7:F8)</f>
        <v>0</v>
      </c>
      <c r="G9" s="167">
        <f>SUM(G7:G8)</f>
        <v>0</v>
      </c>
      <c r="H9" s="60"/>
      <c r="I9" s="60"/>
      <c r="J9" s="167">
        <f>SUM(J7:J8)</f>
        <v>0</v>
      </c>
      <c r="K9" s="60"/>
      <c r="L9" s="167">
        <f>SUM(L7:L8)</f>
        <v>0</v>
      </c>
      <c r="M9" s="167">
        <f>SUM(M7:M8)</f>
        <v>0</v>
      </c>
      <c r="N9" s="49"/>
    </row>
    <row r="10" spans="1:20" s="55" customFormat="1">
      <c r="A10" s="82"/>
      <c r="B10" s="82"/>
      <c r="C10" s="82"/>
      <c r="D10" s="82"/>
      <c r="E10" s="82"/>
      <c r="F10" s="165"/>
      <c r="G10" s="166"/>
      <c r="H10" s="60"/>
      <c r="I10" s="60"/>
      <c r="J10" s="131"/>
      <c r="K10" s="60"/>
      <c r="L10" s="111"/>
      <c r="M10" s="112"/>
      <c r="N10" s="49"/>
    </row>
    <row r="11" spans="1:20" s="55" customFormat="1">
      <c r="A11" s="62"/>
      <c r="B11" s="62"/>
      <c r="C11" s="47" t="s">
        <v>76</v>
      </c>
      <c r="D11" s="47"/>
      <c r="E11" s="47"/>
      <c r="F11" s="159">
        <f>SUM(F9-G9)</f>
        <v>0</v>
      </c>
      <c r="G11" s="170"/>
      <c r="H11" s="60"/>
      <c r="I11" s="60"/>
      <c r="J11" s="59"/>
      <c r="K11" s="60"/>
      <c r="L11" s="93"/>
      <c r="M11" s="93"/>
      <c r="N11" s="49"/>
    </row>
    <row r="12" spans="1:20">
      <c r="C12" s="47"/>
      <c r="D12" s="47"/>
      <c r="E12" s="47"/>
      <c r="F12" s="159"/>
      <c r="G12" s="170"/>
      <c r="H12" s="60"/>
      <c r="I12" s="60"/>
      <c r="J12" s="59"/>
      <c r="K12" s="60"/>
      <c r="N12" s="49"/>
      <c r="O12" s="43"/>
      <c r="P12" s="43"/>
      <c r="Q12" s="43"/>
      <c r="R12" s="43"/>
      <c r="S12" s="43"/>
      <c r="T12" s="43"/>
    </row>
    <row r="13" spans="1:20">
      <c r="A13" s="47"/>
      <c r="B13" s="47"/>
      <c r="C13" s="47" t="s">
        <v>16</v>
      </c>
      <c r="D13" s="47"/>
      <c r="E13" s="47"/>
      <c r="F13" s="167">
        <f>SUM(C1-F9)</f>
        <v>39582439</v>
      </c>
      <c r="G13" s="171"/>
      <c r="H13" s="49"/>
      <c r="I13" s="49"/>
      <c r="J13" s="132"/>
      <c r="K13" s="49"/>
      <c r="L13" s="118"/>
      <c r="M13" s="118"/>
      <c r="N13" s="49"/>
      <c r="O13" s="43"/>
      <c r="P13" s="43"/>
      <c r="Q13" s="43"/>
      <c r="R13" s="43"/>
      <c r="S13" s="43"/>
      <c r="T13" s="43"/>
    </row>
    <row r="14" spans="1:20" s="54" customFormat="1" ht="11.25" customHeight="1">
      <c r="A14" s="46"/>
      <c r="B14" s="173"/>
      <c r="C14" s="173"/>
      <c r="D14" s="46"/>
      <c r="E14" s="173"/>
      <c r="F14" s="185"/>
      <c r="G14" s="257"/>
      <c r="H14" s="49"/>
      <c r="I14" s="49"/>
      <c r="J14" s="147"/>
      <c r="K14" s="49"/>
      <c r="L14" s="206"/>
      <c r="M14" s="206"/>
      <c r="N14" s="53"/>
      <c r="O14" s="117"/>
      <c r="R14" s="82"/>
      <c r="T14" s="170"/>
    </row>
    <row r="15" spans="1:20" s="47" customFormat="1">
      <c r="A15" s="141">
        <v>2904</v>
      </c>
      <c r="B15" s="173" t="s">
        <v>395</v>
      </c>
      <c r="C15" s="46" t="s">
        <v>352</v>
      </c>
      <c r="D15" s="46" t="s">
        <v>353</v>
      </c>
      <c r="E15" s="46" t="s">
        <v>342</v>
      </c>
      <c r="F15" s="129">
        <v>15000000</v>
      </c>
      <c r="G15" s="129">
        <v>15000000</v>
      </c>
      <c r="H15" s="52">
        <v>36748</v>
      </c>
      <c r="I15" s="49">
        <f>H15+35</f>
        <v>36783</v>
      </c>
      <c r="J15" s="147">
        <v>15000000</v>
      </c>
      <c r="K15" s="49">
        <f>H15+150</f>
        <v>36898</v>
      </c>
      <c r="L15" s="185">
        <v>14260000</v>
      </c>
      <c r="M15" s="185">
        <f>SUM(J15-L15)</f>
        <v>740000</v>
      </c>
      <c r="N15" s="49">
        <v>36903</v>
      </c>
    </row>
    <row r="17" spans="3:6">
      <c r="F17" s="244">
        <f>SUM(F13+M15)</f>
        <v>40322439</v>
      </c>
    </row>
    <row r="18" spans="3:6">
      <c r="C18" s="47"/>
      <c r="D18" s="47"/>
      <c r="E18" s="47"/>
    </row>
  </sheetData>
  <phoneticPr fontId="6" type="noConversion"/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5"/>
  <sheetViews>
    <sheetView zoomScaleNormal="100" workbookViewId="0">
      <pane ySplit="6" topLeftCell="A7" activePane="bottomLeft" state="frozen"/>
      <selection activeCell="C12" sqref="C12"/>
      <selection pane="bottomLeft" activeCell="B12" sqref="B12"/>
    </sheetView>
  </sheetViews>
  <sheetFormatPr defaultColWidth="10.85546875" defaultRowHeight="12"/>
  <cols>
    <col min="1" max="1" width="8.28515625" style="62" customWidth="1"/>
    <col min="2" max="2" width="7.85546875" style="62" customWidth="1"/>
    <col min="3" max="3" width="10.85546875" style="62" customWidth="1"/>
    <col min="4" max="4" width="23.85546875" style="62" customWidth="1"/>
    <col min="5" max="5" width="8.42578125" style="62" customWidth="1"/>
    <col min="6" max="6" width="11.5703125" style="61" customWidth="1"/>
    <col min="7" max="7" width="12" style="92" bestFit="1" customWidth="1"/>
    <col min="8" max="8" width="13.7109375" style="158" bestFit="1" customWidth="1"/>
    <col min="9" max="9" width="9.5703125" style="62" bestFit="1" customWidth="1"/>
    <col min="10" max="10" width="11.5703125" style="92" bestFit="1" customWidth="1"/>
    <col min="11" max="11" width="9.5703125" style="62" bestFit="1" customWidth="1"/>
    <col min="12" max="12" width="13" style="61" bestFit="1" customWidth="1"/>
    <col min="13" max="13" width="12" style="103" bestFit="1" customWidth="1"/>
    <col min="14" max="14" width="11" style="62" bestFit="1" customWidth="1"/>
    <col min="15" max="16384" width="10.85546875" style="62"/>
  </cols>
  <sheetData>
    <row r="1" spans="1:20" s="74" customFormat="1">
      <c r="A1" s="66" t="s">
        <v>19</v>
      </c>
      <c r="B1" s="67"/>
      <c r="C1" s="68">
        <v>79164878</v>
      </c>
      <c r="D1" s="68"/>
      <c r="E1" s="76"/>
      <c r="F1" s="213"/>
      <c r="I1" s="72"/>
      <c r="J1" s="69"/>
      <c r="K1" s="72"/>
      <c r="L1" s="109"/>
      <c r="M1" s="142"/>
      <c r="N1" s="73">
        <f>'SC1 MRB'!P1</f>
        <v>36893</v>
      </c>
      <c r="O1" s="54"/>
      <c r="P1" s="54"/>
      <c r="Q1" s="54"/>
      <c r="R1" s="54"/>
      <c r="S1" s="54"/>
      <c r="T1" s="54"/>
    </row>
    <row r="2" spans="1:20" s="82" customFormat="1">
      <c r="A2" s="75" t="s">
        <v>3</v>
      </c>
      <c r="B2" s="54"/>
      <c r="C2" s="76"/>
      <c r="D2" s="76"/>
      <c r="E2" s="76"/>
      <c r="F2" s="111"/>
      <c r="G2" s="77"/>
      <c r="H2" s="155"/>
      <c r="J2" s="77"/>
      <c r="K2" s="80"/>
      <c r="L2" s="113" t="s">
        <v>136</v>
      </c>
      <c r="M2" s="150"/>
      <c r="N2" s="81"/>
      <c r="O2" s="54"/>
      <c r="P2" s="54"/>
      <c r="Q2" s="54"/>
      <c r="R2" s="54"/>
      <c r="S2" s="54"/>
      <c r="T2" s="54"/>
    </row>
    <row r="3" spans="1:20">
      <c r="A3" s="83"/>
      <c r="B3" s="82"/>
      <c r="C3" s="54"/>
      <c r="D3" s="54"/>
      <c r="E3" s="54"/>
      <c r="F3" s="111"/>
      <c r="G3" s="77"/>
      <c r="H3" s="155"/>
      <c r="I3" s="80"/>
      <c r="J3" s="77"/>
      <c r="K3" s="80"/>
      <c r="L3" s="111"/>
      <c r="M3" s="104"/>
      <c r="N3" s="81"/>
      <c r="O3" s="54"/>
      <c r="P3" s="54"/>
      <c r="Q3" s="54"/>
      <c r="R3" s="54"/>
      <c r="S3" s="54"/>
      <c r="T3" s="54"/>
    </row>
    <row r="4" spans="1:20" s="47" customFormat="1">
      <c r="A4" s="83" t="s">
        <v>54</v>
      </c>
      <c r="B4" s="54" t="s">
        <v>135</v>
      </c>
      <c r="C4" s="54" t="s">
        <v>52</v>
      </c>
      <c r="D4" s="76" t="s">
        <v>83</v>
      </c>
      <c r="E4" s="54" t="s">
        <v>79</v>
      </c>
      <c r="F4" s="113" t="s">
        <v>42</v>
      </c>
      <c r="G4" s="84" t="s">
        <v>13</v>
      </c>
      <c r="H4" s="156" t="s">
        <v>26</v>
      </c>
      <c r="I4" s="53" t="s">
        <v>56</v>
      </c>
      <c r="J4" s="84" t="s">
        <v>7</v>
      </c>
      <c r="K4" s="53" t="s">
        <v>95</v>
      </c>
      <c r="L4" s="113" t="s">
        <v>47</v>
      </c>
      <c r="M4" s="136" t="s">
        <v>78</v>
      </c>
      <c r="N4" s="81" t="s">
        <v>41</v>
      </c>
      <c r="O4" s="54"/>
      <c r="P4" s="54"/>
      <c r="Q4" s="54"/>
      <c r="R4" s="54"/>
      <c r="S4" s="54"/>
      <c r="T4" s="54"/>
    </row>
    <row r="5" spans="1:20" s="54" customFormat="1">
      <c r="A5" s="83" t="s">
        <v>82</v>
      </c>
      <c r="B5" s="82"/>
      <c r="D5" s="76"/>
      <c r="E5" s="76"/>
      <c r="F5" s="113" t="s">
        <v>75</v>
      </c>
      <c r="G5" s="84" t="s">
        <v>75</v>
      </c>
      <c r="H5" s="156" t="s">
        <v>14</v>
      </c>
      <c r="I5" s="53" t="s">
        <v>35</v>
      </c>
      <c r="J5" s="84" t="s">
        <v>75</v>
      </c>
      <c r="K5" s="53" t="s">
        <v>35</v>
      </c>
      <c r="L5" s="113" t="s">
        <v>75</v>
      </c>
      <c r="M5" s="136" t="s">
        <v>75</v>
      </c>
      <c r="N5" s="81" t="s">
        <v>8</v>
      </c>
    </row>
    <row r="6" spans="1:20" s="47" customFormat="1" ht="12.75" thickBot="1">
      <c r="A6" s="98" t="s">
        <v>53</v>
      </c>
      <c r="B6" s="85"/>
      <c r="C6" s="85"/>
      <c r="D6" s="85"/>
      <c r="E6" s="85"/>
      <c r="F6" s="115"/>
      <c r="G6" s="137"/>
      <c r="H6" s="157"/>
      <c r="I6" s="101"/>
      <c r="J6" s="137"/>
      <c r="K6" s="101"/>
      <c r="L6" s="115"/>
      <c r="M6" s="145"/>
      <c r="N6" s="102" t="s">
        <v>14</v>
      </c>
      <c r="O6" s="54"/>
      <c r="P6" s="54"/>
      <c r="Q6" s="54"/>
      <c r="R6" s="54"/>
      <c r="S6" s="54"/>
      <c r="T6" s="54"/>
    </row>
    <row r="7" spans="1:20" s="82" customFormat="1">
      <c r="A7" s="117" t="s">
        <v>39</v>
      </c>
      <c r="B7" s="62"/>
      <c r="C7" s="62"/>
      <c r="D7" s="62"/>
      <c r="E7" s="62"/>
      <c r="F7" s="61"/>
      <c r="G7" s="92"/>
      <c r="H7" s="158"/>
      <c r="I7" s="60"/>
      <c r="J7" s="92"/>
      <c r="K7" s="60"/>
      <c r="L7" s="61"/>
      <c r="M7" s="103"/>
      <c r="N7" s="60"/>
    </row>
    <row r="8" spans="1:20" s="82" customFormat="1" ht="11.25" customHeight="1">
      <c r="A8" s="43">
        <v>21</v>
      </c>
      <c r="B8" s="43" t="s">
        <v>307</v>
      </c>
      <c r="C8" s="311" t="s">
        <v>335</v>
      </c>
      <c r="D8" s="43" t="s">
        <v>166</v>
      </c>
      <c r="E8" s="43" t="s">
        <v>454</v>
      </c>
      <c r="F8" s="187">
        <v>9000000</v>
      </c>
      <c r="G8" s="166">
        <v>0</v>
      </c>
      <c r="H8" s="80">
        <v>36893</v>
      </c>
      <c r="I8" s="80"/>
      <c r="J8" s="131">
        <v>0</v>
      </c>
      <c r="K8" s="272"/>
      <c r="L8" s="165">
        <v>0</v>
      </c>
      <c r="M8" s="161">
        <v>0</v>
      </c>
      <c r="N8" s="80">
        <v>36895</v>
      </c>
    </row>
    <row r="9" spans="1:20" s="82" customFormat="1">
      <c r="A9" s="43">
        <v>2970</v>
      </c>
      <c r="B9" s="43" t="s">
        <v>307</v>
      </c>
      <c r="C9" s="311" t="s">
        <v>335</v>
      </c>
      <c r="D9" s="43" t="s">
        <v>173</v>
      </c>
      <c r="E9" s="43" t="s">
        <v>455</v>
      </c>
      <c r="F9" s="187">
        <v>1250000</v>
      </c>
      <c r="G9" s="187">
        <v>1250000</v>
      </c>
      <c r="H9" s="272">
        <v>36895</v>
      </c>
      <c r="I9" s="272">
        <f>SUM(H9+35)</f>
        <v>36930</v>
      </c>
      <c r="J9" s="77">
        <v>1250000</v>
      </c>
      <c r="K9" s="272">
        <f>SUM(H9+150)</f>
        <v>37045</v>
      </c>
      <c r="L9" s="165">
        <v>0</v>
      </c>
      <c r="M9" s="161">
        <f>SUM(G9-0)</f>
        <v>1250000</v>
      </c>
      <c r="N9" s="80">
        <v>36980</v>
      </c>
    </row>
    <row r="10" spans="1:20" s="82" customFormat="1">
      <c r="A10" s="43">
        <v>2977</v>
      </c>
      <c r="B10" s="43" t="s">
        <v>307</v>
      </c>
      <c r="C10" s="311" t="s">
        <v>335</v>
      </c>
      <c r="D10" s="43" t="s">
        <v>170</v>
      </c>
      <c r="E10" s="43" t="s">
        <v>456</v>
      </c>
      <c r="F10" s="187">
        <v>3500000</v>
      </c>
      <c r="G10" s="187">
        <v>3500000</v>
      </c>
      <c r="H10" s="272">
        <v>36900</v>
      </c>
      <c r="I10" s="272">
        <f>SUM(H10+35)</f>
        <v>36935</v>
      </c>
      <c r="J10" s="77">
        <v>3500000</v>
      </c>
      <c r="K10" s="272">
        <f>SUM(H10+150)</f>
        <v>37050</v>
      </c>
      <c r="L10" s="165">
        <v>0</v>
      </c>
      <c r="M10" s="161">
        <f>SUM(G10-0)</f>
        <v>3500000</v>
      </c>
      <c r="N10" s="80">
        <v>36980</v>
      </c>
    </row>
    <row r="11" spans="1:20" s="82" customFormat="1">
      <c r="A11" s="43">
        <v>2978</v>
      </c>
      <c r="B11" s="43" t="s">
        <v>368</v>
      </c>
      <c r="C11" s="311" t="s">
        <v>335</v>
      </c>
      <c r="D11" s="43" t="s">
        <v>171</v>
      </c>
      <c r="E11" s="43" t="s">
        <v>337</v>
      </c>
      <c r="F11" s="187">
        <v>12750000</v>
      </c>
      <c r="G11" s="187">
        <v>12750000</v>
      </c>
      <c r="H11" s="272">
        <v>36900</v>
      </c>
      <c r="I11" s="272">
        <f>SUM(H11+35)</f>
        <v>36935</v>
      </c>
      <c r="J11" s="77">
        <v>0</v>
      </c>
      <c r="K11" s="272">
        <f>SUM(H11+150)</f>
        <v>37050</v>
      </c>
      <c r="L11" s="165">
        <v>0</v>
      </c>
      <c r="M11" s="161">
        <f>SUM(G11-0)</f>
        <v>12750000</v>
      </c>
      <c r="N11" s="80"/>
    </row>
    <row r="12" spans="1:20" s="82" customFormat="1">
      <c r="A12" s="43">
        <v>62</v>
      </c>
      <c r="B12" s="43" t="s">
        <v>307</v>
      </c>
      <c r="C12" s="311" t="s">
        <v>335</v>
      </c>
      <c r="D12" s="43" t="s">
        <v>172</v>
      </c>
      <c r="E12" s="43" t="s">
        <v>457</v>
      </c>
      <c r="F12" s="187">
        <v>12500000</v>
      </c>
      <c r="G12" s="165">
        <v>0</v>
      </c>
      <c r="H12" s="272">
        <v>36907</v>
      </c>
      <c r="I12" s="272"/>
      <c r="J12" s="77">
        <v>0</v>
      </c>
      <c r="K12" s="80"/>
      <c r="L12" s="165">
        <v>0</v>
      </c>
      <c r="M12" s="161">
        <v>0</v>
      </c>
      <c r="N12" s="80">
        <v>36895</v>
      </c>
    </row>
    <row r="13" spans="1:20" s="82" customFormat="1">
      <c r="A13" s="43">
        <v>2987</v>
      </c>
      <c r="B13" s="43" t="s">
        <v>307</v>
      </c>
      <c r="C13" s="311" t="s">
        <v>335</v>
      </c>
      <c r="D13" s="43" t="s">
        <v>175</v>
      </c>
      <c r="E13" s="43" t="s">
        <v>458</v>
      </c>
      <c r="F13" s="187">
        <v>14100000</v>
      </c>
      <c r="G13" s="187">
        <v>14100000</v>
      </c>
      <c r="H13" s="272">
        <v>36909</v>
      </c>
      <c r="I13" s="272">
        <f>SUM(H13+35)</f>
        <v>36944</v>
      </c>
      <c r="J13" s="77">
        <v>0</v>
      </c>
      <c r="K13" s="272">
        <f>SUM(H13+150)</f>
        <v>37059</v>
      </c>
      <c r="L13" s="165">
        <v>0</v>
      </c>
      <c r="M13" s="161">
        <f>SUM(G13-0)</f>
        <v>14100000</v>
      </c>
      <c r="N13" s="80">
        <v>36914</v>
      </c>
    </row>
    <row r="14" spans="1:20" s="82" customFormat="1">
      <c r="A14" s="43">
        <v>2995</v>
      </c>
      <c r="B14" s="43" t="s">
        <v>307</v>
      </c>
      <c r="C14" s="311" t="s">
        <v>335</v>
      </c>
      <c r="D14" s="43" t="s">
        <v>167</v>
      </c>
      <c r="E14" s="43" t="s">
        <v>459</v>
      </c>
      <c r="F14" s="187">
        <v>1500000</v>
      </c>
      <c r="G14" s="187">
        <v>1500000</v>
      </c>
      <c r="H14" s="80">
        <v>36915</v>
      </c>
      <c r="I14" s="272">
        <f>SUM(H14+35)</f>
        <v>36950</v>
      </c>
      <c r="J14" s="77">
        <v>1500000</v>
      </c>
      <c r="K14" s="272">
        <f>SUM(H14+150)</f>
        <v>37065</v>
      </c>
      <c r="L14" s="165">
        <v>0</v>
      </c>
      <c r="M14" s="161">
        <f>SUM(G14-0)</f>
        <v>1500000</v>
      </c>
      <c r="N14" s="80">
        <v>36980</v>
      </c>
    </row>
    <row r="15" spans="1:20" s="82" customFormat="1">
      <c r="A15" s="43">
        <v>75</v>
      </c>
      <c r="B15" s="43" t="s">
        <v>307</v>
      </c>
      <c r="C15" s="311" t="s">
        <v>335</v>
      </c>
      <c r="D15" s="43" t="s">
        <v>174</v>
      </c>
      <c r="E15" s="43" t="s">
        <v>460</v>
      </c>
      <c r="F15" s="187">
        <v>2650000</v>
      </c>
      <c r="G15" s="165">
        <v>0</v>
      </c>
      <c r="H15" s="272">
        <v>36914</v>
      </c>
      <c r="I15" s="272"/>
      <c r="J15" s="77">
        <v>0</v>
      </c>
      <c r="K15" s="80"/>
      <c r="L15" s="165">
        <v>0</v>
      </c>
      <c r="M15" s="161">
        <f>SUM(G15-0)</f>
        <v>0</v>
      </c>
      <c r="N15" s="80">
        <v>36895</v>
      </c>
    </row>
    <row r="16" spans="1:20" s="82" customFormat="1">
      <c r="A16" s="43">
        <v>3005</v>
      </c>
      <c r="B16" s="43" t="s">
        <v>307</v>
      </c>
      <c r="C16" s="311" t="s">
        <v>335</v>
      </c>
      <c r="D16" s="43" t="s">
        <v>168</v>
      </c>
      <c r="E16" s="43" t="s">
        <v>461</v>
      </c>
      <c r="F16" s="187">
        <v>1200000</v>
      </c>
      <c r="G16" s="187">
        <v>1200000</v>
      </c>
      <c r="H16" s="80">
        <v>36921</v>
      </c>
      <c r="I16" s="272">
        <f>SUM(H16+35)</f>
        <v>36956</v>
      </c>
      <c r="J16" s="77">
        <v>1200000</v>
      </c>
      <c r="K16" s="272">
        <f>SUM(H16+150)</f>
        <v>37071</v>
      </c>
      <c r="L16" s="165">
        <v>0</v>
      </c>
      <c r="M16" s="161">
        <f>SUM(G16-0)</f>
        <v>1200000</v>
      </c>
      <c r="N16" s="80">
        <v>36980</v>
      </c>
    </row>
    <row r="17" spans="1:15" s="82" customFormat="1">
      <c r="A17" s="43">
        <v>40</v>
      </c>
      <c r="B17" s="43" t="s">
        <v>307</v>
      </c>
      <c r="C17" s="311" t="s">
        <v>335</v>
      </c>
      <c r="D17" s="43" t="s">
        <v>169</v>
      </c>
      <c r="E17" s="43" t="s">
        <v>454</v>
      </c>
      <c r="F17" s="187">
        <v>15000000</v>
      </c>
      <c r="G17" s="165">
        <v>0</v>
      </c>
      <c r="H17" s="80">
        <v>36921</v>
      </c>
      <c r="I17" s="80"/>
      <c r="J17" s="77">
        <v>0</v>
      </c>
      <c r="K17" s="80"/>
      <c r="L17" s="165">
        <v>0</v>
      </c>
      <c r="M17" s="161">
        <v>0</v>
      </c>
      <c r="N17" s="80">
        <v>36895</v>
      </c>
    </row>
    <row r="18" spans="1:15" s="82" customFormat="1">
      <c r="A18" s="43">
        <v>91</v>
      </c>
      <c r="B18" s="43" t="s">
        <v>307</v>
      </c>
      <c r="C18" s="311" t="s">
        <v>335</v>
      </c>
      <c r="D18" s="43" t="s">
        <v>176</v>
      </c>
      <c r="E18" s="43" t="s">
        <v>384</v>
      </c>
      <c r="F18" s="187">
        <v>15000000</v>
      </c>
      <c r="G18" s="187">
        <v>0</v>
      </c>
      <c r="H18" s="155"/>
      <c r="I18" s="80"/>
      <c r="J18" s="77">
        <v>0</v>
      </c>
      <c r="K18" s="258"/>
      <c r="L18" s="165">
        <v>0</v>
      </c>
      <c r="M18" s="161">
        <v>0</v>
      </c>
      <c r="N18" s="80">
        <v>36909</v>
      </c>
    </row>
    <row r="19" spans="1:15" s="82" customFormat="1">
      <c r="A19" s="43">
        <v>109</v>
      </c>
      <c r="B19" s="43" t="s">
        <v>307</v>
      </c>
      <c r="C19" s="311" t="s">
        <v>335</v>
      </c>
      <c r="D19" s="43" t="s">
        <v>177</v>
      </c>
      <c r="E19" s="43" t="s">
        <v>337</v>
      </c>
      <c r="F19" s="187">
        <v>6500000</v>
      </c>
      <c r="G19" s="187">
        <v>0</v>
      </c>
      <c r="H19" s="155"/>
      <c r="I19" s="80"/>
      <c r="J19" s="77">
        <v>0</v>
      </c>
      <c r="K19" s="258"/>
      <c r="L19" s="165">
        <v>0</v>
      </c>
      <c r="M19" s="161">
        <v>0</v>
      </c>
      <c r="N19" s="80">
        <v>36909</v>
      </c>
    </row>
    <row r="20" spans="1:15" s="54" customFormat="1">
      <c r="A20" s="43">
        <v>124</v>
      </c>
      <c r="B20" s="43" t="s">
        <v>307</v>
      </c>
      <c r="C20" s="311" t="s">
        <v>335</v>
      </c>
      <c r="D20" s="43" t="s">
        <v>178</v>
      </c>
      <c r="E20" s="43" t="s">
        <v>462</v>
      </c>
      <c r="F20" s="187">
        <v>15000000</v>
      </c>
      <c r="G20" s="187">
        <v>0</v>
      </c>
      <c r="H20" s="155"/>
      <c r="I20" s="80"/>
      <c r="J20" s="77">
        <v>0</v>
      </c>
      <c r="K20" s="258"/>
      <c r="L20" s="165">
        <v>0</v>
      </c>
      <c r="M20" s="161">
        <v>0</v>
      </c>
      <c r="N20" s="80">
        <v>36909</v>
      </c>
    </row>
    <row r="21" spans="1:15" s="82" customFormat="1">
      <c r="A21" s="43">
        <v>129</v>
      </c>
      <c r="B21" s="43" t="s">
        <v>307</v>
      </c>
      <c r="C21" s="311" t="s">
        <v>335</v>
      </c>
      <c r="D21" s="43" t="s">
        <v>179</v>
      </c>
      <c r="E21" s="43" t="s">
        <v>453</v>
      </c>
      <c r="F21" s="187">
        <v>10500000</v>
      </c>
      <c r="G21" s="187">
        <v>0</v>
      </c>
      <c r="H21" s="155"/>
      <c r="I21" s="80"/>
      <c r="J21" s="77">
        <v>0</v>
      </c>
      <c r="K21" s="258"/>
      <c r="L21" s="165">
        <v>0</v>
      </c>
      <c r="M21" s="161">
        <v>0</v>
      </c>
      <c r="N21" s="80">
        <v>36909</v>
      </c>
    </row>
    <row r="22" spans="1:15" s="82" customFormat="1">
      <c r="A22" s="43">
        <v>2996</v>
      </c>
      <c r="B22" s="108" t="s">
        <v>395</v>
      </c>
      <c r="C22" s="311" t="s">
        <v>335</v>
      </c>
      <c r="D22" s="43" t="s">
        <v>117</v>
      </c>
      <c r="E22" s="43" t="s">
        <v>61</v>
      </c>
      <c r="F22" s="187">
        <v>15000000</v>
      </c>
      <c r="G22" s="187">
        <v>15000000</v>
      </c>
      <c r="H22" s="80">
        <v>36915</v>
      </c>
      <c r="I22" s="272">
        <f>SUM(H22+35)</f>
        <v>36950</v>
      </c>
      <c r="J22" s="77">
        <v>15000000</v>
      </c>
      <c r="K22" s="272">
        <f>SUM(H22+150)</f>
        <v>37065</v>
      </c>
      <c r="L22" s="165">
        <v>14100000</v>
      </c>
      <c r="M22" s="161">
        <f>SUM(G22-L22)</f>
        <v>900000</v>
      </c>
      <c r="N22" s="80">
        <v>37058</v>
      </c>
      <c r="O22" s="166"/>
    </row>
    <row r="23" spans="1:15">
      <c r="A23" s="43" t="s">
        <v>370</v>
      </c>
      <c r="B23" s="108" t="s">
        <v>307</v>
      </c>
      <c r="C23" s="311" t="s">
        <v>335</v>
      </c>
      <c r="D23" s="164" t="s">
        <v>371</v>
      </c>
      <c r="E23" s="164" t="s">
        <v>350</v>
      </c>
      <c r="F23" s="273">
        <v>15000000</v>
      </c>
      <c r="G23" s="187">
        <v>0</v>
      </c>
      <c r="H23" s="155"/>
      <c r="I23" s="80"/>
      <c r="J23" s="77">
        <v>0</v>
      </c>
      <c r="K23" s="258"/>
      <c r="L23" s="165">
        <v>0</v>
      </c>
      <c r="M23" s="161">
        <v>0</v>
      </c>
      <c r="N23" s="80">
        <v>36909</v>
      </c>
      <c r="O23" s="166"/>
    </row>
    <row r="24" spans="1:15">
      <c r="A24" s="43" t="s">
        <v>372</v>
      </c>
      <c r="B24" s="108" t="s">
        <v>307</v>
      </c>
      <c r="C24" s="311" t="s">
        <v>335</v>
      </c>
      <c r="D24" s="164" t="s">
        <v>380</v>
      </c>
      <c r="E24" s="164" t="s">
        <v>381</v>
      </c>
      <c r="F24" s="273">
        <v>15000000</v>
      </c>
      <c r="G24" s="187">
        <v>0</v>
      </c>
      <c r="H24" s="155"/>
      <c r="I24" s="80"/>
      <c r="J24" s="77">
        <v>0</v>
      </c>
      <c r="K24" s="258"/>
      <c r="L24" s="165">
        <v>0</v>
      </c>
      <c r="M24" s="161">
        <v>0</v>
      </c>
      <c r="N24" s="80">
        <v>36909</v>
      </c>
      <c r="O24" s="166"/>
    </row>
    <row r="25" spans="1:15">
      <c r="A25" s="43" t="s">
        <v>373</v>
      </c>
      <c r="B25" s="108" t="s">
        <v>368</v>
      </c>
      <c r="C25" s="311" t="s">
        <v>335</v>
      </c>
      <c r="D25" s="164" t="s">
        <v>382</v>
      </c>
      <c r="E25" s="164" t="s">
        <v>383</v>
      </c>
      <c r="F25" s="273">
        <v>14100000</v>
      </c>
      <c r="G25" s="187">
        <v>0</v>
      </c>
      <c r="H25" s="155"/>
      <c r="I25" s="80"/>
      <c r="J25" s="77">
        <v>0</v>
      </c>
      <c r="K25" s="258"/>
      <c r="L25" s="165">
        <v>0</v>
      </c>
      <c r="M25" s="161">
        <v>0</v>
      </c>
      <c r="N25" s="80">
        <v>36917</v>
      </c>
      <c r="O25" s="166"/>
    </row>
    <row r="26" spans="1:15">
      <c r="A26" s="43" t="s">
        <v>374</v>
      </c>
      <c r="B26" s="108" t="s">
        <v>307</v>
      </c>
      <c r="C26" s="311" t="s">
        <v>335</v>
      </c>
      <c r="D26" s="164" t="s">
        <v>386</v>
      </c>
      <c r="E26" s="164" t="s">
        <v>387</v>
      </c>
      <c r="F26" s="273">
        <v>15000000</v>
      </c>
      <c r="G26" s="187">
        <v>0</v>
      </c>
      <c r="H26" s="155"/>
      <c r="I26" s="80"/>
      <c r="J26" s="77">
        <v>0</v>
      </c>
      <c r="K26" s="258"/>
      <c r="L26" s="165">
        <v>0</v>
      </c>
      <c r="M26" s="161">
        <v>0</v>
      </c>
      <c r="N26" s="80">
        <v>36917</v>
      </c>
      <c r="O26" s="166"/>
    </row>
    <row r="27" spans="1:15">
      <c r="A27" s="43" t="s">
        <v>375</v>
      </c>
      <c r="B27" s="108" t="s">
        <v>368</v>
      </c>
      <c r="C27" s="311" t="s">
        <v>335</v>
      </c>
      <c r="D27" s="164" t="s">
        <v>390</v>
      </c>
      <c r="E27" s="164" t="s">
        <v>391</v>
      </c>
      <c r="F27" s="273">
        <v>15000000</v>
      </c>
      <c r="G27" s="187">
        <v>0</v>
      </c>
      <c r="H27" s="155"/>
      <c r="I27" s="80"/>
      <c r="J27" s="77">
        <v>0</v>
      </c>
      <c r="K27" s="258"/>
      <c r="L27" s="165">
        <v>0</v>
      </c>
      <c r="M27" s="161">
        <v>0</v>
      </c>
      <c r="N27" s="80">
        <v>36921</v>
      </c>
      <c r="O27" s="166"/>
    </row>
    <row r="28" spans="1:15">
      <c r="A28" s="43" t="s">
        <v>376</v>
      </c>
      <c r="B28" s="108" t="s">
        <v>368</v>
      </c>
      <c r="C28" s="311" t="s">
        <v>335</v>
      </c>
      <c r="D28" s="164" t="s">
        <v>394</v>
      </c>
      <c r="E28" s="164" t="s">
        <v>392</v>
      </c>
      <c r="F28" s="273">
        <v>15000000</v>
      </c>
      <c r="G28" s="187">
        <v>0</v>
      </c>
      <c r="H28" s="155"/>
      <c r="I28" s="80"/>
      <c r="J28" s="77">
        <v>0</v>
      </c>
      <c r="K28" s="258"/>
      <c r="L28" s="165">
        <v>0</v>
      </c>
      <c r="M28" s="161">
        <v>0</v>
      </c>
      <c r="N28" s="80">
        <v>36930</v>
      </c>
      <c r="O28" s="166"/>
    </row>
    <row r="29" spans="1:15">
      <c r="A29" s="43" t="s">
        <v>377</v>
      </c>
      <c r="B29" s="108" t="s">
        <v>368</v>
      </c>
      <c r="C29" s="311" t="s">
        <v>335</v>
      </c>
      <c r="D29" s="164" t="s">
        <v>393</v>
      </c>
      <c r="E29" s="164" t="s">
        <v>392</v>
      </c>
      <c r="F29" s="273">
        <v>15000000</v>
      </c>
      <c r="G29" s="187">
        <v>0</v>
      </c>
      <c r="H29" s="155"/>
      <c r="I29" s="80"/>
      <c r="J29" s="77">
        <v>0</v>
      </c>
      <c r="K29" s="258"/>
      <c r="L29" s="165">
        <v>0</v>
      </c>
      <c r="M29" s="161">
        <v>0</v>
      </c>
      <c r="N29" s="80">
        <v>36930</v>
      </c>
      <c r="O29" s="166"/>
    </row>
    <row r="30" spans="1:15">
      <c r="A30" s="43">
        <v>3014</v>
      </c>
      <c r="B30" s="108" t="s">
        <v>307</v>
      </c>
      <c r="C30" s="311" t="s">
        <v>335</v>
      </c>
      <c r="D30" s="164" t="s">
        <v>437</v>
      </c>
      <c r="E30" s="164" t="s">
        <v>61</v>
      </c>
      <c r="F30" s="273">
        <v>12500000</v>
      </c>
      <c r="G30" s="273">
        <v>12500000</v>
      </c>
      <c r="H30" s="80">
        <v>36951</v>
      </c>
      <c r="I30" s="272">
        <f>SUM(H30+35)</f>
        <v>36986</v>
      </c>
      <c r="J30" s="77">
        <v>12500000</v>
      </c>
      <c r="K30" s="272">
        <f>SUM(H30+150)</f>
        <v>37101</v>
      </c>
      <c r="L30" s="165">
        <v>0</v>
      </c>
      <c r="M30" s="161">
        <f>SUM(G30-0)</f>
        <v>12500000</v>
      </c>
      <c r="N30" s="60">
        <v>37013</v>
      </c>
      <c r="O30" s="166"/>
    </row>
    <row r="31" spans="1:15">
      <c r="A31" s="43" t="s">
        <v>450</v>
      </c>
      <c r="B31" s="108" t="s">
        <v>307</v>
      </c>
      <c r="C31" s="311" t="s">
        <v>335</v>
      </c>
      <c r="D31" s="164" t="s">
        <v>449</v>
      </c>
      <c r="E31" s="164" t="s">
        <v>61</v>
      </c>
      <c r="F31" s="273">
        <v>14100000</v>
      </c>
      <c r="G31" s="273">
        <v>0</v>
      </c>
      <c r="H31" s="80"/>
      <c r="I31" s="272"/>
      <c r="J31" s="77">
        <v>0</v>
      </c>
      <c r="K31" s="272"/>
      <c r="L31" s="159">
        <v>0</v>
      </c>
      <c r="M31" s="163">
        <v>0</v>
      </c>
      <c r="N31" s="60">
        <v>36984</v>
      </c>
      <c r="O31" s="166"/>
    </row>
    <row r="32" spans="1:15">
      <c r="A32" s="43">
        <v>3024</v>
      </c>
      <c r="B32" s="108" t="s">
        <v>395</v>
      </c>
      <c r="C32" s="311" t="s">
        <v>335</v>
      </c>
      <c r="D32" s="164" t="s">
        <v>451</v>
      </c>
      <c r="E32" s="164" t="s">
        <v>452</v>
      </c>
      <c r="F32" s="273">
        <v>10400000</v>
      </c>
      <c r="G32" s="273">
        <v>10400000</v>
      </c>
      <c r="H32" s="80">
        <v>36985</v>
      </c>
      <c r="I32" s="272">
        <f t="shared" ref="I32:I43" si="0">SUM(H32+35)</f>
        <v>37020</v>
      </c>
      <c r="J32" s="77">
        <v>10400000</v>
      </c>
      <c r="K32" s="272">
        <f t="shared" ref="K32:K39" si="1">SUM(H32+150)</f>
        <v>37135</v>
      </c>
      <c r="L32" s="159">
        <v>10400000</v>
      </c>
      <c r="M32" s="163">
        <v>0</v>
      </c>
      <c r="N32" s="60">
        <v>37132</v>
      </c>
      <c r="O32" s="166"/>
    </row>
    <row r="33" spans="1:20">
      <c r="A33" s="43">
        <v>3025</v>
      </c>
      <c r="B33" s="108" t="s">
        <v>307</v>
      </c>
      <c r="C33" s="311" t="s">
        <v>335</v>
      </c>
      <c r="D33" s="164" t="s">
        <v>179</v>
      </c>
      <c r="E33" s="164" t="s">
        <v>453</v>
      </c>
      <c r="F33" s="273">
        <v>12000000</v>
      </c>
      <c r="G33" s="273">
        <v>12000000</v>
      </c>
      <c r="H33" s="80">
        <v>36985</v>
      </c>
      <c r="I33" s="272">
        <f t="shared" si="0"/>
        <v>37020</v>
      </c>
      <c r="J33" s="273">
        <v>12000000</v>
      </c>
      <c r="K33" s="272">
        <f t="shared" si="1"/>
        <v>37135</v>
      </c>
      <c r="L33" s="159">
        <v>0</v>
      </c>
      <c r="M33" s="161">
        <f>SUM(G33-0)</f>
        <v>12000000</v>
      </c>
      <c r="N33" s="60">
        <v>37082</v>
      </c>
      <c r="O33" s="166"/>
    </row>
    <row r="34" spans="1:20">
      <c r="A34" s="43">
        <v>3029</v>
      </c>
      <c r="B34" s="108" t="s">
        <v>395</v>
      </c>
      <c r="C34" s="311" t="s">
        <v>335</v>
      </c>
      <c r="D34" s="164" t="s">
        <v>465</v>
      </c>
      <c r="E34" s="164" t="s">
        <v>337</v>
      </c>
      <c r="F34" s="273">
        <v>15000000</v>
      </c>
      <c r="G34" s="273">
        <v>15000000</v>
      </c>
      <c r="H34" s="80">
        <v>36986</v>
      </c>
      <c r="I34" s="272">
        <f t="shared" si="0"/>
        <v>37021</v>
      </c>
      <c r="J34" s="77">
        <v>15000000</v>
      </c>
      <c r="K34" s="272">
        <f t="shared" si="1"/>
        <v>37136</v>
      </c>
      <c r="L34" s="159">
        <v>14360000</v>
      </c>
      <c r="M34" s="161">
        <f t="shared" ref="M34:M39" si="2">SUM(G34-L34)</f>
        <v>640000</v>
      </c>
      <c r="N34" s="60">
        <v>37142</v>
      </c>
      <c r="O34" s="166"/>
    </row>
    <row r="35" spans="1:20">
      <c r="A35" s="43">
        <v>3026</v>
      </c>
      <c r="B35" s="108" t="s">
        <v>395</v>
      </c>
      <c r="C35" s="311" t="s">
        <v>335</v>
      </c>
      <c r="D35" s="164" t="s">
        <v>468</v>
      </c>
      <c r="E35" s="164" t="s">
        <v>466</v>
      </c>
      <c r="F35" s="273">
        <v>13000000</v>
      </c>
      <c r="G35" s="273">
        <v>13000000</v>
      </c>
      <c r="H35" s="80">
        <v>36985</v>
      </c>
      <c r="I35" s="272">
        <f t="shared" si="0"/>
        <v>37020</v>
      </c>
      <c r="J35" s="273">
        <v>13000000</v>
      </c>
      <c r="K35" s="272">
        <f t="shared" si="1"/>
        <v>37135</v>
      </c>
      <c r="L35" s="159">
        <v>12200000</v>
      </c>
      <c r="M35" s="161">
        <f t="shared" si="2"/>
        <v>800000</v>
      </c>
      <c r="N35" s="80" t="s">
        <v>512</v>
      </c>
      <c r="O35" s="166"/>
    </row>
    <row r="36" spans="1:20">
      <c r="A36" s="43">
        <v>3027</v>
      </c>
      <c r="B36" s="108" t="s">
        <v>395</v>
      </c>
      <c r="C36" s="311" t="s">
        <v>335</v>
      </c>
      <c r="D36" s="164" t="s">
        <v>467</v>
      </c>
      <c r="E36" s="164" t="s">
        <v>337</v>
      </c>
      <c r="F36" s="273">
        <v>10000000</v>
      </c>
      <c r="G36" s="273">
        <v>10000000</v>
      </c>
      <c r="H36" s="80">
        <v>36985</v>
      </c>
      <c r="I36" s="272">
        <f t="shared" si="0"/>
        <v>37020</v>
      </c>
      <c r="J36" s="273">
        <v>10000000</v>
      </c>
      <c r="K36" s="272">
        <f t="shared" si="1"/>
        <v>37135</v>
      </c>
      <c r="L36" s="159">
        <v>7650000</v>
      </c>
      <c r="M36" s="161">
        <f t="shared" si="2"/>
        <v>2350000</v>
      </c>
      <c r="N36" s="60">
        <v>37132</v>
      </c>
      <c r="O36" s="166"/>
    </row>
    <row r="37" spans="1:20">
      <c r="A37" s="43">
        <v>3035</v>
      </c>
      <c r="B37" s="108" t="s">
        <v>395</v>
      </c>
      <c r="C37" s="311" t="s">
        <v>335</v>
      </c>
      <c r="D37" s="164" t="s">
        <v>481</v>
      </c>
      <c r="E37" s="164" t="s">
        <v>480</v>
      </c>
      <c r="F37" s="273">
        <v>15000000</v>
      </c>
      <c r="G37" s="273">
        <v>15000000</v>
      </c>
      <c r="H37" s="80">
        <v>37013</v>
      </c>
      <c r="I37" s="272">
        <f t="shared" si="0"/>
        <v>37048</v>
      </c>
      <c r="J37" s="77">
        <v>15000000</v>
      </c>
      <c r="K37" s="272">
        <f t="shared" si="1"/>
        <v>37163</v>
      </c>
      <c r="L37" s="159">
        <v>14250000</v>
      </c>
      <c r="M37" s="161">
        <f t="shared" si="2"/>
        <v>750000</v>
      </c>
      <c r="N37" s="60">
        <v>37147</v>
      </c>
      <c r="O37" s="166"/>
    </row>
    <row r="38" spans="1:20">
      <c r="A38" s="43">
        <v>3036</v>
      </c>
      <c r="B38" s="108" t="s">
        <v>307</v>
      </c>
      <c r="C38" s="311" t="s">
        <v>335</v>
      </c>
      <c r="D38" s="164" t="s">
        <v>482</v>
      </c>
      <c r="E38" s="164" t="s">
        <v>456</v>
      </c>
      <c r="F38" s="273">
        <v>15000000</v>
      </c>
      <c r="G38" s="273">
        <v>15000000</v>
      </c>
      <c r="H38" s="80">
        <v>37013</v>
      </c>
      <c r="I38" s="272">
        <f t="shared" si="0"/>
        <v>37048</v>
      </c>
      <c r="J38" s="77">
        <v>15000000</v>
      </c>
      <c r="K38" s="272">
        <f t="shared" si="1"/>
        <v>37163</v>
      </c>
      <c r="L38" s="159">
        <v>0</v>
      </c>
      <c r="M38" s="163">
        <f t="shared" si="2"/>
        <v>15000000</v>
      </c>
      <c r="N38" s="60">
        <v>37161</v>
      </c>
      <c r="O38" s="166"/>
    </row>
    <row r="39" spans="1:20">
      <c r="A39" s="43">
        <v>3048</v>
      </c>
      <c r="B39" s="108" t="s">
        <v>307</v>
      </c>
      <c r="C39" s="311" t="s">
        <v>335</v>
      </c>
      <c r="D39" s="164" t="s">
        <v>504</v>
      </c>
      <c r="E39" s="164" t="s">
        <v>505</v>
      </c>
      <c r="F39" s="273">
        <v>15000000</v>
      </c>
      <c r="G39" s="273">
        <v>15000000</v>
      </c>
      <c r="H39" s="80">
        <v>37051</v>
      </c>
      <c r="I39" s="60">
        <f t="shared" si="0"/>
        <v>37086</v>
      </c>
      <c r="J39" s="273">
        <v>15000000</v>
      </c>
      <c r="K39" s="60">
        <f t="shared" si="1"/>
        <v>37201</v>
      </c>
      <c r="L39" s="159">
        <v>0</v>
      </c>
      <c r="M39" s="163">
        <f t="shared" si="2"/>
        <v>15000000</v>
      </c>
      <c r="N39" s="60">
        <v>37196</v>
      </c>
      <c r="O39" s="166"/>
    </row>
    <row r="40" spans="1:20" s="86" customFormat="1">
      <c r="A40" s="352">
        <v>3046</v>
      </c>
      <c r="B40" s="223" t="s">
        <v>395</v>
      </c>
      <c r="C40" s="311" t="s">
        <v>335</v>
      </c>
      <c r="D40" s="223" t="s">
        <v>503</v>
      </c>
      <c r="E40" s="223" t="s">
        <v>61</v>
      </c>
      <c r="F40" s="165">
        <v>15000000</v>
      </c>
      <c r="G40" s="165">
        <v>15000000</v>
      </c>
      <c r="H40" s="80">
        <v>37049</v>
      </c>
      <c r="I40" s="272">
        <f t="shared" si="0"/>
        <v>37084</v>
      </c>
      <c r="J40" s="165">
        <v>15000000</v>
      </c>
      <c r="K40" s="272">
        <f>SUM(H40+150)</f>
        <v>37199</v>
      </c>
      <c r="L40" s="165">
        <v>15000000</v>
      </c>
      <c r="M40" s="161">
        <v>0</v>
      </c>
      <c r="N40" s="60">
        <v>37169</v>
      </c>
      <c r="O40" s="166"/>
    </row>
    <row r="41" spans="1:20" s="86" customFormat="1">
      <c r="A41" s="352">
        <v>3059</v>
      </c>
      <c r="B41" s="223" t="s">
        <v>307</v>
      </c>
      <c r="C41" s="311" t="s">
        <v>335</v>
      </c>
      <c r="D41" s="223" t="s">
        <v>347</v>
      </c>
      <c r="E41" s="223" t="s">
        <v>348</v>
      </c>
      <c r="F41" s="165">
        <v>10500000</v>
      </c>
      <c r="G41" s="165">
        <v>10500000</v>
      </c>
      <c r="H41" s="80">
        <v>37084</v>
      </c>
      <c r="I41" s="272">
        <f t="shared" si="0"/>
        <v>37119</v>
      </c>
      <c r="J41" s="165">
        <v>10500000</v>
      </c>
      <c r="K41" s="272">
        <f>SUM(H41+150)</f>
        <v>37234</v>
      </c>
      <c r="L41" s="159">
        <v>0</v>
      </c>
      <c r="M41" s="163">
        <f>SUM(G41-L41)</f>
        <v>10500000</v>
      </c>
      <c r="N41" s="60">
        <v>37196</v>
      </c>
      <c r="O41" s="166"/>
    </row>
    <row r="42" spans="1:20" s="86" customFormat="1">
      <c r="A42" s="352">
        <v>3060</v>
      </c>
      <c r="B42" s="223" t="s">
        <v>307</v>
      </c>
      <c r="C42" s="311" t="s">
        <v>335</v>
      </c>
      <c r="D42" s="223" t="s">
        <v>515</v>
      </c>
      <c r="E42" s="223" t="s">
        <v>342</v>
      </c>
      <c r="F42" s="165">
        <v>15000000</v>
      </c>
      <c r="G42" s="165">
        <v>15000000</v>
      </c>
      <c r="H42" s="80">
        <v>37084</v>
      </c>
      <c r="I42" s="272">
        <f t="shared" si="0"/>
        <v>37119</v>
      </c>
      <c r="J42" s="165">
        <v>15000000</v>
      </c>
      <c r="K42" s="272">
        <f>SUM(H42+150)</f>
        <v>37234</v>
      </c>
      <c r="L42" s="159">
        <v>0</v>
      </c>
      <c r="M42" s="163">
        <f>SUM(G42-L42)</f>
        <v>15000000</v>
      </c>
      <c r="N42" s="60">
        <v>37196</v>
      </c>
      <c r="O42" s="166"/>
    </row>
    <row r="43" spans="1:20" s="86" customFormat="1">
      <c r="A43" s="352">
        <v>3068</v>
      </c>
      <c r="B43" s="223" t="s">
        <v>307</v>
      </c>
      <c r="C43" s="311" t="s">
        <v>335</v>
      </c>
      <c r="D43" s="223" t="s">
        <v>520</v>
      </c>
      <c r="E43" s="223" t="s">
        <v>516</v>
      </c>
      <c r="F43" s="165">
        <v>10000000</v>
      </c>
      <c r="G43" s="165">
        <v>10000000</v>
      </c>
      <c r="H43" s="80">
        <v>37107</v>
      </c>
      <c r="I43" s="272">
        <f t="shared" si="0"/>
        <v>37142</v>
      </c>
      <c r="J43" s="165">
        <v>10000000</v>
      </c>
      <c r="K43" s="272">
        <f>SUM(H43+150)</f>
        <v>37257</v>
      </c>
      <c r="L43" s="159">
        <v>0</v>
      </c>
      <c r="M43" s="163">
        <f>SUM(G43-L43)</f>
        <v>10000000</v>
      </c>
      <c r="N43" s="60">
        <v>37196</v>
      </c>
      <c r="O43" s="166"/>
    </row>
    <row r="45" spans="1:20" s="55" customFormat="1">
      <c r="A45" s="325"/>
      <c r="B45" s="117"/>
      <c r="C45" s="46"/>
      <c r="D45" s="117"/>
      <c r="E45" s="117"/>
      <c r="F45" s="206"/>
      <c r="G45" s="206"/>
      <c r="H45" s="53"/>
      <c r="I45" s="258"/>
      <c r="J45" s="206"/>
      <c r="K45" s="258"/>
      <c r="L45" s="206"/>
      <c r="M45" s="160"/>
      <c r="N45" s="49"/>
    </row>
    <row r="46" spans="1:20" s="55" customFormat="1">
      <c r="A46" s="82"/>
      <c r="B46" s="82"/>
      <c r="C46" s="274" t="s">
        <v>36</v>
      </c>
      <c r="D46" s="274"/>
      <c r="E46" s="274"/>
      <c r="F46" s="304">
        <f>SUM(F7:F45)</f>
        <v>422050000</v>
      </c>
      <c r="G46" s="304">
        <f>SUM(G7:G45)</f>
        <v>217700000</v>
      </c>
      <c r="H46" s="275"/>
      <c r="I46" s="276"/>
      <c r="J46" s="167">
        <f>SUM(J7:J45)</f>
        <v>190850000</v>
      </c>
      <c r="K46" s="276"/>
      <c r="L46" s="304">
        <f>SUM(L7:L45)</f>
        <v>87960000</v>
      </c>
      <c r="M46" s="304">
        <f>SUM(M7:M45)</f>
        <v>129740000</v>
      </c>
      <c r="N46" s="53"/>
    </row>
    <row r="47" spans="1:20">
      <c r="C47" s="47"/>
      <c r="D47" s="47"/>
      <c r="E47" s="47"/>
      <c r="F47" s="159"/>
      <c r="G47" s="170"/>
      <c r="I47" s="60"/>
      <c r="K47" s="60"/>
      <c r="L47" s="159"/>
      <c r="M47" s="163"/>
      <c r="N47" s="49"/>
      <c r="O47" s="43"/>
      <c r="P47" s="43"/>
      <c r="Q47" s="43"/>
      <c r="R47" s="43"/>
      <c r="S47" s="43"/>
      <c r="T47" s="43"/>
    </row>
    <row r="48" spans="1:20">
      <c r="A48" s="47"/>
      <c r="B48" s="47"/>
      <c r="C48" s="47" t="s">
        <v>76</v>
      </c>
      <c r="D48" s="47"/>
      <c r="E48" s="47"/>
      <c r="F48" s="159">
        <f>SUM(F46-G46)</f>
        <v>204350000</v>
      </c>
      <c r="G48" s="171"/>
      <c r="H48" s="172"/>
      <c r="I48" s="49"/>
      <c r="J48" s="132"/>
      <c r="K48" s="49"/>
      <c r="L48" s="179"/>
      <c r="M48" s="151"/>
      <c r="N48" s="49"/>
      <c r="O48" s="43"/>
      <c r="P48" s="43"/>
      <c r="Q48" s="43"/>
      <c r="R48" s="43"/>
      <c r="S48" s="43"/>
      <c r="T48" s="43"/>
    </row>
    <row r="49" spans="1:20">
      <c r="A49" s="47"/>
      <c r="B49" s="47"/>
      <c r="C49" s="47"/>
      <c r="D49" s="47"/>
      <c r="E49" s="47"/>
      <c r="F49" s="159"/>
      <c r="G49" s="171"/>
      <c r="H49" s="172"/>
      <c r="I49" s="49"/>
      <c r="J49" s="48"/>
      <c r="K49" s="49"/>
      <c r="L49" s="118"/>
      <c r="M49" s="51"/>
      <c r="N49" s="49"/>
      <c r="O49" s="43"/>
      <c r="P49" s="43"/>
      <c r="Q49" s="43"/>
      <c r="R49" s="43"/>
      <c r="S49" s="43"/>
      <c r="T49" s="43"/>
    </row>
    <row r="50" spans="1:20">
      <c r="A50" s="47"/>
      <c r="B50" s="47"/>
      <c r="C50" s="47" t="s">
        <v>16</v>
      </c>
      <c r="D50" s="47"/>
      <c r="E50" s="47"/>
      <c r="F50" s="167">
        <f>+C1-G46+M46</f>
        <v>-8795122</v>
      </c>
      <c r="G50" s="171"/>
      <c r="H50" s="172"/>
      <c r="I50" s="49"/>
      <c r="J50" s="48"/>
      <c r="K50" s="49"/>
      <c r="L50" s="118"/>
      <c r="M50" s="51"/>
      <c r="N50" s="49"/>
      <c r="O50" s="43"/>
      <c r="P50" s="43"/>
      <c r="Q50" s="43"/>
      <c r="R50" s="43"/>
      <c r="S50" s="43"/>
      <c r="T50" s="43"/>
    </row>
    <row r="51" spans="1:20">
      <c r="A51" s="47"/>
      <c r="B51" s="47"/>
      <c r="C51" s="47"/>
      <c r="D51" s="47"/>
      <c r="E51" s="47"/>
      <c r="F51" s="165"/>
      <c r="G51" s="282"/>
      <c r="H51" s="172"/>
      <c r="I51" s="49"/>
      <c r="J51" s="48"/>
      <c r="K51" s="49"/>
      <c r="L51" s="118"/>
      <c r="M51" s="51"/>
      <c r="N51" s="49"/>
      <c r="O51" s="43"/>
      <c r="P51" s="43"/>
      <c r="Q51" s="43"/>
      <c r="R51" s="43"/>
      <c r="S51" s="43"/>
      <c r="T51" s="43"/>
    </row>
    <row r="52" spans="1:20">
      <c r="A52" s="173" t="s">
        <v>385</v>
      </c>
      <c r="B52" s="47"/>
      <c r="C52" s="47"/>
      <c r="D52" s="47"/>
      <c r="E52" s="47"/>
      <c r="F52" s="159"/>
      <c r="G52" s="171"/>
      <c r="H52" s="172"/>
      <c r="I52" s="49"/>
      <c r="J52" s="48"/>
      <c r="K52" s="49"/>
      <c r="L52" s="118"/>
      <c r="M52" s="51"/>
      <c r="N52" s="49"/>
      <c r="O52" s="43"/>
      <c r="P52" s="43"/>
      <c r="Q52" s="43"/>
      <c r="R52" s="43"/>
      <c r="S52" s="43"/>
      <c r="T52" s="43"/>
    </row>
    <row r="53" spans="1:20" s="82" customFormat="1">
      <c r="A53" s="164">
        <v>2936</v>
      </c>
      <c r="B53" s="223" t="s">
        <v>395</v>
      </c>
      <c r="C53" s="311" t="s">
        <v>335</v>
      </c>
      <c r="D53" s="164" t="s">
        <v>336</v>
      </c>
      <c r="E53" s="164" t="s">
        <v>337</v>
      </c>
      <c r="F53" s="273">
        <v>15000000</v>
      </c>
      <c r="G53" s="162">
        <v>15000000</v>
      </c>
      <c r="H53" s="272">
        <v>36767</v>
      </c>
      <c r="I53" s="60">
        <f t="shared" ref="I53:I64" si="3">H53+35</f>
        <v>36802</v>
      </c>
      <c r="J53" s="146">
        <v>15000000</v>
      </c>
      <c r="K53" s="60">
        <f t="shared" ref="K53:K64" si="4">H53+150</f>
        <v>36917</v>
      </c>
      <c r="L53" s="165">
        <v>14030000</v>
      </c>
      <c r="M53" s="208">
        <f t="shared" ref="M53:M58" si="5">SUM(J53-L53)</f>
        <v>970000</v>
      </c>
      <c r="N53" s="80">
        <v>36923</v>
      </c>
      <c r="O53" s="324">
        <v>3014</v>
      </c>
      <c r="T53" s="170"/>
    </row>
    <row r="54" spans="1:20" s="82" customFormat="1">
      <c r="A54" s="164">
        <v>2941</v>
      </c>
      <c r="B54" s="108" t="s">
        <v>395</v>
      </c>
      <c r="C54" s="311" t="s">
        <v>335</v>
      </c>
      <c r="D54" s="164" t="s">
        <v>338</v>
      </c>
      <c r="E54" s="164" t="s">
        <v>339</v>
      </c>
      <c r="F54" s="273">
        <v>13400000</v>
      </c>
      <c r="G54" s="162">
        <v>13400000</v>
      </c>
      <c r="H54" s="272">
        <v>36768</v>
      </c>
      <c r="I54" s="60">
        <f t="shared" si="3"/>
        <v>36803</v>
      </c>
      <c r="J54" s="146">
        <v>13400000</v>
      </c>
      <c r="K54" s="60">
        <f t="shared" si="4"/>
        <v>36918</v>
      </c>
      <c r="L54" s="159">
        <v>11050000</v>
      </c>
      <c r="M54" s="208">
        <f t="shared" si="5"/>
        <v>2350000</v>
      </c>
      <c r="N54" s="80">
        <v>36923</v>
      </c>
      <c r="O54" s="324">
        <v>3014</v>
      </c>
      <c r="T54" s="170"/>
    </row>
    <row r="55" spans="1:20" s="82" customFormat="1">
      <c r="A55" s="164">
        <v>2945</v>
      </c>
      <c r="B55" s="108" t="s">
        <v>307</v>
      </c>
      <c r="C55" s="311" t="s">
        <v>335</v>
      </c>
      <c r="D55" s="164" t="s">
        <v>340</v>
      </c>
      <c r="E55" s="164" t="s">
        <v>61</v>
      </c>
      <c r="F55" s="273">
        <v>11600000</v>
      </c>
      <c r="G55" s="162">
        <v>11600000</v>
      </c>
      <c r="H55" s="80">
        <v>36776</v>
      </c>
      <c r="I55" s="60">
        <f t="shared" si="3"/>
        <v>36811</v>
      </c>
      <c r="J55" s="146">
        <v>11600000</v>
      </c>
      <c r="K55" s="60">
        <f t="shared" si="4"/>
        <v>36926</v>
      </c>
      <c r="L55" s="165">
        <v>0</v>
      </c>
      <c r="M55" s="165">
        <f t="shared" si="5"/>
        <v>11600000</v>
      </c>
      <c r="N55" s="80">
        <v>36895</v>
      </c>
      <c r="O55" s="343" t="s">
        <v>513</v>
      </c>
      <c r="P55" s="166"/>
      <c r="T55" s="170"/>
    </row>
    <row r="56" spans="1:20" s="82" customFormat="1">
      <c r="A56" s="164">
        <v>2946</v>
      </c>
      <c r="B56" s="108" t="s">
        <v>395</v>
      </c>
      <c r="C56" s="311" t="s">
        <v>335</v>
      </c>
      <c r="D56" s="164" t="s">
        <v>341</v>
      </c>
      <c r="E56" s="164" t="s">
        <v>342</v>
      </c>
      <c r="F56" s="273">
        <v>13300000</v>
      </c>
      <c r="G56" s="273">
        <v>13300000</v>
      </c>
      <c r="H56" s="80">
        <v>36776</v>
      </c>
      <c r="I56" s="60">
        <f t="shared" si="3"/>
        <v>36811</v>
      </c>
      <c r="J56" s="273">
        <v>13300000</v>
      </c>
      <c r="K56" s="60">
        <f t="shared" si="4"/>
        <v>36926</v>
      </c>
      <c r="L56" s="165">
        <v>11490000</v>
      </c>
      <c r="M56" s="165">
        <f t="shared" si="5"/>
        <v>1810000</v>
      </c>
      <c r="N56" s="80">
        <v>36932</v>
      </c>
      <c r="O56" s="324">
        <v>3026</v>
      </c>
      <c r="T56" s="170"/>
    </row>
    <row r="57" spans="1:20" s="82" customFormat="1">
      <c r="A57" s="86">
        <v>2947</v>
      </c>
      <c r="B57" s="108" t="s">
        <v>395</v>
      </c>
      <c r="C57" s="311" t="s">
        <v>335</v>
      </c>
      <c r="D57" s="164" t="s">
        <v>343</v>
      </c>
      <c r="E57" s="164" t="s">
        <v>342</v>
      </c>
      <c r="F57" s="273">
        <v>13300000</v>
      </c>
      <c r="G57" s="273">
        <v>13300000</v>
      </c>
      <c r="H57" s="80">
        <v>36776</v>
      </c>
      <c r="I57" s="60">
        <f t="shared" si="3"/>
        <v>36811</v>
      </c>
      <c r="J57" s="273">
        <v>13300000</v>
      </c>
      <c r="K57" s="60">
        <f t="shared" si="4"/>
        <v>36926</v>
      </c>
      <c r="L57" s="165">
        <v>12200000</v>
      </c>
      <c r="M57" s="165">
        <f t="shared" si="5"/>
        <v>1100000</v>
      </c>
      <c r="N57" s="80">
        <v>36932</v>
      </c>
      <c r="O57" s="344">
        <v>3026</v>
      </c>
      <c r="T57" s="170"/>
    </row>
    <row r="58" spans="1:20">
      <c r="A58" s="43">
        <v>2961</v>
      </c>
      <c r="B58" s="108" t="s">
        <v>395</v>
      </c>
      <c r="C58" s="311" t="s">
        <v>335</v>
      </c>
      <c r="D58" s="43" t="s">
        <v>344</v>
      </c>
      <c r="E58" s="108" t="s">
        <v>345</v>
      </c>
      <c r="F58" s="187">
        <v>11900000</v>
      </c>
      <c r="G58" s="187">
        <v>11900000</v>
      </c>
      <c r="H58" s="80">
        <v>36847</v>
      </c>
      <c r="I58" s="60">
        <f t="shared" si="3"/>
        <v>36882</v>
      </c>
      <c r="J58" s="146">
        <v>11900000</v>
      </c>
      <c r="K58" s="60">
        <f t="shared" si="4"/>
        <v>36997</v>
      </c>
      <c r="L58" s="159">
        <v>11900000</v>
      </c>
      <c r="M58" s="163">
        <f t="shared" si="5"/>
        <v>0</v>
      </c>
      <c r="N58" s="60">
        <v>37001</v>
      </c>
      <c r="O58" s="324"/>
    </row>
    <row r="59" spans="1:20">
      <c r="A59" s="43">
        <v>2962</v>
      </c>
      <c r="B59" s="108" t="s">
        <v>307</v>
      </c>
      <c r="C59" s="311" t="s">
        <v>335</v>
      </c>
      <c r="D59" s="43" t="s">
        <v>346</v>
      </c>
      <c r="E59" s="108" t="s">
        <v>61</v>
      </c>
      <c r="F59" s="187">
        <v>11650000</v>
      </c>
      <c r="G59" s="187">
        <v>11650000</v>
      </c>
      <c r="H59" s="80">
        <v>36847</v>
      </c>
      <c r="I59" s="60">
        <f t="shared" si="3"/>
        <v>36882</v>
      </c>
      <c r="J59" s="159">
        <v>11650000</v>
      </c>
      <c r="K59" s="60">
        <f t="shared" si="4"/>
        <v>36997</v>
      </c>
      <c r="L59" s="165">
        <v>0</v>
      </c>
      <c r="M59" s="161">
        <f>SUM(G59-0)</f>
        <v>11650000</v>
      </c>
      <c r="N59" s="60">
        <v>36957</v>
      </c>
      <c r="O59" s="324">
        <v>3026</v>
      </c>
      <c r="P59" s="170">
        <v>3180000</v>
      </c>
    </row>
    <row r="60" spans="1:20">
      <c r="A60" s="43">
        <v>2963</v>
      </c>
      <c r="B60" s="108" t="s">
        <v>307</v>
      </c>
      <c r="C60" s="311" t="s">
        <v>335</v>
      </c>
      <c r="D60" s="43" t="s">
        <v>347</v>
      </c>
      <c r="E60" s="108" t="s">
        <v>348</v>
      </c>
      <c r="F60" s="187">
        <v>10500000</v>
      </c>
      <c r="G60" s="187">
        <v>10500000</v>
      </c>
      <c r="H60" s="80">
        <v>36847</v>
      </c>
      <c r="I60" s="60">
        <f t="shared" si="3"/>
        <v>36882</v>
      </c>
      <c r="J60" s="159">
        <v>10500000</v>
      </c>
      <c r="K60" s="60">
        <f t="shared" si="4"/>
        <v>36997</v>
      </c>
      <c r="L60" s="165">
        <v>0</v>
      </c>
      <c r="M60" s="161">
        <f>SUM(G60-0)</f>
        <v>10500000</v>
      </c>
      <c r="N60" s="60">
        <v>36957</v>
      </c>
      <c r="O60" s="324"/>
    </row>
    <row r="61" spans="1:20">
      <c r="A61" s="43">
        <v>2965</v>
      </c>
      <c r="B61" s="108" t="s">
        <v>395</v>
      </c>
      <c r="C61" s="311" t="s">
        <v>335</v>
      </c>
      <c r="D61" s="43" t="s">
        <v>349</v>
      </c>
      <c r="E61" s="108" t="s">
        <v>350</v>
      </c>
      <c r="F61" s="187">
        <v>15000000</v>
      </c>
      <c r="G61" s="187">
        <v>15000000</v>
      </c>
      <c r="H61" s="80">
        <v>36853</v>
      </c>
      <c r="I61" s="60">
        <f t="shared" si="3"/>
        <v>36888</v>
      </c>
      <c r="J61" s="159">
        <v>15000000</v>
      </c>
      <c r="K61" s="60">
        <f t="shared" si="4"/>
        <v>37003</v>
      </c>
      <c r="L61" s="159">
        <v>15000000</v>
      </c>
      <c r="M61" s="163">
        <v>0</v>
      </c>
      <c r="N61" s="60">
        <v>37006</v>
      </c>
      <c r="O61" s="324"/>
    </row>
    <row r="62" spans="1:20">
      <c r="A62" s="43">
        <v>2966</v>
      </c>
      <c r="B62" s="108" t="s">
        <v>307</v>
      </c>
      <c r="C62" s="311" t="s">
        <v>335</v>
      </c>
      <c r="D62" s="43" t="s">
        <v>261</v>
      </c>
      <c r="E62" s="108" t="s">
        <v>61</v>
      </c>
      <c r="F62" s="187">
        <v>14160000</v>
      </c>
      <c r="G62" s="187">
        <v>14160000</v>
      </c>
      <c r="H62" s="80">
        <v>36853</v>
      </c>
      <c r="I62" s="60">
        <f t="shared" si="3"/>
        <v>36888</v>
      </c>
      <c r="J62" s="159">
        <v>14160000</v>
      </c>
      <c r="K62" s="60">
        <f t="shared" si="4"/>
        <v>37003</v>
      </c>
      <c r="L62" s="165">
        <v>0</v>
      </c>
      <c r="M62" s="161">
        <f>SUM(G62-0)</f>
        <v>14160000</v>
      </c>
      <c r="N62" s="60">
        <v>36957</v>
      </c>
      <c r="O62" s="324"/>
    </row>
    <row r="63" spans="1:20">
      <c r="A63" s="43">
        <v>2967</v>
      </c>
      <c r="B63" s="108" t="s">
        <v>307</v>
      </c>
      <c r="C63" s="311" t="s">
        <v>335</v>
      </c>
      <c r="D63" s="43" t="s">
        <v>351</v>
      </c>
      <c r="E63" s="108" t="s">
        <v>383</v>
      </c>
      <c r="F63" s="187">
        <v>14100000</v>
      </c>
      <c r="G63" s="187">
        <v>14100000</v>
      </c>
      <c r="H63" s="80">
        <v>36853</v>
      </c>
      <c r="I63" s="60">
        <f t="shared" si="3"/>
        <v>36888</v>
      </c>
      <c r="J63" s="159">
        <v>14100000</v>
      </c>
      <c r="K63" s="60">
        <f t="shared" si="4"/>
        <v>37003</v>
      </c>
      <c r="L63" s="165">
        <v>0</v>
      </c>
      <c r="M63" s="161">
        <f>SUM(G63-0)</f>
        <v>14100000</v>
      </c>
      <c r="N63" s="60">
        <v>36957</v>
      </c>
      <c r="O63" s="324"/>
    </row>
    <row r="64" spans="1:20" ht="12.75" thickBot="1">
      <c r="A64" s="43">
        <v>2968</v>
      </c>
      <c r="B64" s="108" t="s">
        <v>307</v>
      </c>
      <c r="C64" s="311" t="s">
        <v>335</v>
      </c>
      <c r="D64" s="43" t="s">
        <v>237</v>
      </c>
      <c r="E64" s="108" t="s">
        <v>61</v>
      </c>
      <c r="F64" s="187">
        <v>13350000</v>
      </c>
      <c r="G64" s="162">
        <v>13350000</v>
      </c>
      <c r="H64" s="80">
        <v>36859</v>
      </c>
      <c r="I64" s="60">
        <f t="shared" si="3"/>
        <v>36894</v>
      </c>
      <c r="J64" s="162">
        <v>13350000</v>
      </c>
      <c r="K64" s="60">
        <f t="shared" si="4"/>
        <v>37009</v>
      </c>
      <c r="L64" s="165">
        <v>0</v>
      </c>
      <c r="M64" s="161">
        <f>SUM(G64-0)</f>
        <v>13350000</v>
      </c>
      <c r="N64" s="60">
        <v>36958</v>
      </c>
      <c r="O64" s="324"/>
    </row>
    <row r="65" spans="2:13">
      <c r="B65" s="64"/>
      <c r="C65" s="141"/>
      <c r="D65" s="69"/>
      <c r="F65" s="214"/>
      <c r="G65" s="404"/>
      <c r="H65" s="404"/>
    </row>
    <row r="66" spans="2:13">
      <c r="F66" s="167">
        <f>SUM(F53:F65)</f>
        <v>157260000</v>
      </c>
      <c r="G66" s="167">
        <f>SUM(G53:G65)</f>
        <v>157260000</v>
      </c>
      <c r="J66" s="167">
        <f>SUM(J53:J65)</f>
        <v>157260000</v>
      </c>
      <c r="L66" s="167">
        <f>SUM(L53:L65)</f>
        <v>75670000</v>
      </c>
      <c r="M66" s="167">
        <f>SUM(M53:M65)</f>
        <v>81590000</v>
      </c>
    </row>
    <row r="67" spans="2:13">
      <c r="C67" s="47"/>
      <c r="D67" s="47"/>
      <c r="E67" s="47"/>
      <c r="F67" s="163"/>
    </row>
    <row r="68" spans="2:13">
      <c r="F68" s="159"/>
    </row>
    <row r="69" spans="2:13">
      <c r="C69" s="173" t="s">
        <v>378</v>
      </c>
      <c r="D69" s="47"/>
      <c r="E69" s="47"/>
      <c r="F69" s="167">
        <f>+F50+M66</f>
        <v>72794878</v>
      </c>
      <c r="L69" s="64" t="s">
        <v>508</v>
      </c>
      <c r="M69" s="304">
        <f>SUM(M66-L46)</f>
        <v>-6370000</v>
      </c>
    </row>
    <row r="72" spans="2:13">
      <c r="H72" s="80"/>
      <c r="K72" s="60"/>
    </row>
    <row r="73" spans="2:13">
      <c r="H73" s="337"/>
      <c r="K73" s="336"/>
    </row>
    <row r="74" spans="2:13">
      <c r="H74" s="80"/>
      <c r="K74" s="60"/>
    </row>
    <row r="75" spans="2:13">
      <c r="H75" s="337"/>
      <c r="K75" s="336"/>
    </row>
    <row r="76" spans="2:13">
      <c r="H76" s="80"/>
      <c r="K76" s="60"/>
    </row>
    <row r="77" spans="2:13">
      <c r="H77" s="337"/>
      <c r="K77" s="336"/>
    </row>
    <row r="78" spans="2:13">
      <c r="H78" s="80"/>
      <c r="K78" s="60"/>
    </row>
    <row r="79" spans="2:13">
      <c r="H79" s="337"/>
      <c r="K79" s="336"/>
    </row>
    <row r="80" spans="2:13">
      <c r="H80" s="80"/>
      <c r="K80" s="60"/>
    </row>
    <row r="81" spans="8:11">
      <c r="H81" s="337"/>
      <c r="K81" s="336"/>
    </row>
    <row r="82" spans="8:11">
      <c r="H82" s="80"/>
      <c r="K82" s="60"/>
    </row>
    <row r="83" spans="8:11">
      <c r="H83" s="337"/>
      <c r="K83" s="336"/>
    </row>
    <row r="84" spans="8:11">
      <c r="H84" s="80"/>
      <c r="K84" s="60"/>
    </row>
    <row r="85" spans="8:11">
      <c r="H85" s="337"/>
      <c r="K85" s="336"/>
    </row>
  </sheetData>
  <mergeCells count="1">
    <mergeCell ref="G65:H65"/>
  </mergeCells>
  <phoneticPr fontId="0" type="noConversion"/>
  <pageMargins left="0.75" right="0.75" top="1" bottom="1" header="0.5" footer="0.5"/>
  <pageSetup scale="90" fitToHeight="2" orientation="landscape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workbookViewId="0">
      <selection activeCell="I11" sqref="I11"/>
    </sheetView>
  </sheetViews>
  <sheetFormatPr defaultColWidth="10.85546875" defaultRowHeight="12"/>
  <cols>
    <col min="1" max="1" width="8.28515625" style="62" customWidth="1"/>
    <col min="2" max="2" width="7.85546875" style="62" bestFit="1" customWidth="1"/>
    <col min="3" max="3" width="21.5703125" style="62" bestFit="1" customWidth="1"/>
    <col min="4" max="4" width="22.140625" style="62" customWidth="1"/>
    <col min="5" max="5" width="12.85546875" style="62" customWidth="1"/>
    <col min="6" max="6" width="12.85546875" style="139" bestFit="1" customWidth="1"/>
    <col min="7" max="7" width="11.42578125" style="92" bestFit="1" customWidth="1"/>
    <col min="8" max="8" width="13.7109375" style="62" bestFit="1" customWidth="1"/>
    <col min="9" max="9" width="9.5703125" style="62" bestFit="1" customWidth="1"/>
    <col min="10" max="10" width="11.7109375" style="92" bestFit="1" customWidth="1"/>
    <col min="11" max="11" width="9.5703125" style="62" bestFit="1" customWidth="1"/>
    <col min="12" max="12" width="12.42578125" style="61" bestFit="1" customWidth="1"/>
    <col min="13" max="13" width="11.140625" style="61" bestFit="1" customWidth="1"/>
    <col min="14" max="16384" width="10.85546875" style="62"/>
  </cols>
  <sheetData>
    <row r="1" spans="1:20" s="74" customFormat="1">
      <c r="A1" s="66" t="s">
        <v>19</v>
      </c>
      <c r="B1" s="67"/>
      <c r="C1" s="68">
        <v>12668316</v>
      </c>
      <c r="D1" s="68"/>
      <c r="E1" s="68"/>
      <c r="F1" s="134"/>
      <c r="G1" s="69"/>
      <c r="H1" s="72"/>
      <c r="I1" s="72"/>
      <c r="J1" s="69"/>
      <c r="K1" s="72"/>
      <c r="L1" s="109"/>
      <c r="M1" s="109"/>
      <c r="N1" s="73">
        <f>'SC1 MRB'!P1</f>
        <v>36893</v>
      </c>
      <c r="O1" s="54"/>
      <c r="P1" s="54"/>
      <c r="Q1" s="54"/>
      <c r="R1" s="54"/>
      <c r="S1" s="54"/>
      <c r="T1" s="54"/>
    </row>
    <row r="2" spans="1:20" s="82" customFormat="1">
      <c r="A2" s="75" t="s">
        <v>6</v>
      </c>
      <c r="B2" s="54"/>
      <c r="C2" s="76"/>
      <c r="D2" s="76"/>
      <c r="E2" s="76"/>
      <c r="F2" s="135"/>
      <c r="G2" s="77"/>
      <c r="H2" s="80"/>
      <c r="I2" s="80"/>
      <c r="J2" s="77"/>
      <c r="K2" s="80"/>
      <c r="L2" s="113"/>
      <c r="M2" s="113"/>
      <c r="N2" s="81"/>
      <c r="O2" s="54"/>
      <c r="P2" s="54"/>
      <c r="Q2" s="54"/>
      <c r="R2" s="54"/>
      <c r="S2" s="54"/>
      <c r="T2" s="54"/>
    </row>
    <row r="3" spans="1:20">
      <c r="A3" s="83"/>
      <c r="B3" s="82"/>
      <c r="C3" s="54"/>
      <c r="D3" s="54"/>
      <c r="E3" s="54"/>
      <c r="F3" s="135"/>
      <c r="G3" s="77"/>
      <c r="H3" s="80"/>
      <c r="I3" s="80"/>
      <c r="J3" s="77"/>
      <c r="K3" s="80"/>
      <c r="L3" s="111"/>
      <c r="M3" s="111"/>
      <c r="N3" s="81"/>
      <c r="O3" s="54"/>
      <c r="P3" s="54"/>
      <c r="Q3" s="54"/>
      <c r="R3" s="54"/>
      <c r="S3" s="54"/>
      <c r="T3" s="54"/>
    </row>
    <row r="4" spans="1:20" s="47" customFormat="1">
      <c r="A4" s="83" t="s">
        <v>54</v>
      </c>
      <c r="B4" s="54" t="s">
        <v>66</v>
      </c>
      <c r="C4" s="54" t="s">
        <v>52</v>
      </c>
      <c r="D4" s="54" t="s">
        <v>83</v>
      </c>
      <c r="E4" s="54" t="s">
        <v>79</v>
      </c>
      <c r="F4" s="136" t="s">
        <v>42</v>
      </c>
      <c r="G4" s="84" t="s">
        <v>13</v>
      </c>
      <c r="H4" s="53" t="s">
        <v>26</v>
      </c>
      <c r="I4" s="53" t="s">
        <v>56</v>
      </c>
      <c r="J4" s="84" t="s">
        <v>7</v>
      </c>
      <c r="K4" s="53" t="s">
        <v>95</v>
      </c>
      <c r="L4" s="113" t="s">
        <v>47</v>
      </c>
      <c r="M4" s="113" t="s">
        <v>78</v>
      </c>
      <c r="N4" s="81" t="s">
        <v>41</v>
      </c>
      <c r="O4" s="54"/>
      <c r="P4" s="54"/>
      <c r="Q4" s="54"/>
      <c r="R4" s="54"/>
      <c r="S4" s="54"/>
      <c r="T4" s="54"/>
    </row>
    <row r="5" spans="1:20" s="54" customFormat="1">
      <c r="A5" s="83" t="s">
        <v>82</v>
      </c>
      <c r="B5" s="82"/>
      <c r="C5" s="76"/>
      <c r="D5" s="76"/>
      <c r="E5" s="76"/>
      <c r="F5" s="136" t="s">
        <v>75</v>
      </c>
      <c r="G5" s="84" t="s">
        <v>75</v>
      </c>
      <c r="H5" s="53" t="s">
        <v>14</v>
      </c>
      <c r="I5" s="53" t="s">
        <v>35</v>
      </c>
      <c r="J5" s="84" t="s">
        <v>75</v>
      </c>
      <c r="K5" s="53" t="s">
        <v>35</v>
      </c>
      <c r="L5" s="113" t="s">
        <v>75</v>
      </c>
      <c r="M5" s="113" t="s">
        <v>75</v>
      </c>
      <c r="N5" s="81" t="s">
        <v>8</v>
      </c>
    </row>
    <row r="6" spans="1:20" s="47" customFormat="1" ht="12.75" thickBot="1">
      <c r="A6" s="98" t="s">
        <v>53</v>
      </c>
      <c r="B6" s="85"/>
      <c r="C6" s="85"/>
      <c r="D6" s="85"/>
      <c r="E6" s="85"/>
      <c r="F6" s="138"/>
      <c r="G6" s="137"/>
      <c r="H6" s="101"/>
      <c r="I6" s="101"/>
      <c r="J6" s="137"/>
      <c r="K6" s="101"/>
      <c r="L6" s="115"/>
      <c r="M6" s="115"/>
      <c r="N6" s="102" t="s">
        <v>14</v>
      </c>
      <c r="O6" s="54"/>
      <c r="P6" s="54"/>
      <c r="Q6" s="54"/>
      <c r="R6" s="54"/>
      <c r="S6" s="54"/>
      <c r="T6" s="54"/>
    </row>
    <row r="7" spans="1:20" s="82" customFormat="1">
      <c r="A7">
        <v>117</v>
      </c>
      <c r="B7" t="s">
        <v>307</v>
      </c>
      <c r="C7" t="s">
        <v>98</v>
      </c>
      <c r="D7" t="s">
        <v>223</v>
      </c>
      <c r="E7" t="s">
        <v>224</v>
      </c>
      <c r="F7" s="41">
        <v>5000000</v>
      </c>
      <c r="G7" s="197">
        <v>0</v>
      </c>
      <c r="H7" s="149">
        <v>36893</v>
      </c>
      <c r="I7" s="272">
        <f>SUM(H7+35)</f>
        <v>36928</v>
      </c>
      <c r="J7" s="77">
        <v>0</v>
      </c>
      <c r="K7" s="272">
        <f>SUM(H7+150)</f>
        <v>37043</v>
      </c>
      <c r="L7" s="112">
        <v>0</v>
      </c>
      <c r="M7" s="77">
        <v>0</v>
      </c>
      <c r="N7" s="80">
        <v>36895</v>
      </c>
    </row>
    <row r="8" spans="1:20">
      <c r="A8">
        <v>122</v>
      </c>
      <c r="B8" t="s">
        <v>307</v>
      </c>
      <c r="C8" t="s">
        <v>98</v>
      </c>
      <c r="D8" t="s">
        <v>225</v>
      </c>
      <c r="E8" t="s">
        <v>224</v>
      </c>
      <c r="F8" s="41">
        <v>3500000</v>
      </c>
      <c r="G8" s="197">
        <v>0</v>
      </c>
      <c r="H8" s="222">
        <v>36907</v>
      </c>
      <c r="I8" s="272">
        <f>SUM(H8+35)</f>
        <v>36942</v>
      </c>
      <c r="J8" s="77">
        <v>0</v>
      </c>
      <c r="K8" s="272">
        <f>SUM(H8+150)</f>
        <v>37057</v>
      </c>
      <c r="L8" s="112">
        <v>0</v>
      </c>
      <c r="M8" s="77">
        <v>0</v>
      </c>
      <c r="N8" s="60">
        <v>36907</v>
      </c>
    </row>
    <row r="9" spans="1:20">
      <c r="A9" s="329">
        <v>3015</v>
      </c>
      <c r="B9" s="227" t="s">
        <v>307</v>
      </c>
      <c r="C9" s="227" t="s">
        <v>98</v>
      </c>
      <c r="D9" s="227" t="s">
        <v>223</v>
      </c>
      <c r="E9" s="227" t="s">
        <v>224</v>
      </c>
      <c r="F9" s="330">
        <v>5000000</v>
      </c>
      <c r="G9" s="330">
        <v>5000000</v>
      </c>
      <c r="H9" s="222">
        <v>36953</v>
      </c>
      <c r="I9" s="272">
        <f>SUM(H9+35)</f>
        <v>36988</v>
      </c>
      <c r="J9" s="77">
        <v>5000000</v>
      </c>
      <c r="K9" s="272">
        <f>SUM(H9+150)</f>
        <v>37103</v>
      </c>
      <c r="L9" s="112">
        <v>0</v>
      </c>
      <c r="M9" s="77">
        <f>SUM(J9-L9)</f>
        <v>5000000</v>
      </c>
      <c r="N9" s="60">
        <v>37069</v>
      </c>
    </row>
    <row r="10" spans="1:20">
      <c r="A10" s="329">
        <v>3016</v>
      </c>
      <c r="B10" s="227" t="s">
        <v>307</v>
      </c>
      <c r="C10" s="227" t="s">
        <v>98</v>
      </c>
      <c r="D10" s="227" t="s">
        <v>225</v>
      </c>
      <c r="E10" s="227" t="s">
        <v>224</v>
      </c>
      <c r="F10" s="330">
        <v>3500000</v>
      </c>
      <c r="G10" s="330">
        <v>3500000</v>
      </c>
      <c r="H10" s="222">
        <v>36953</v>
      </c>
      <c r="I10" s="272">
        <f>SUM(H10+35)</f>
        <v>36988</v>
      </c>
      <c r="J10" s="77">
        <v>3500000</v>
      </c>
      <c r="K10" s="272">
        <f>SUM(H10+150)</f>
        <v>37103</v>
      </c>
      <c r="L10" s="112">
        <v>0</v>
      </c>
      <c r="M10" s="77">
        <f>SUM(J10-L10)</f>
        <v>3500000</v>
      </c>
      <c r="N10" s="60">
        <v>37069</v>
      </c>
    </row>
    <row r="11" spans="1:20">
      <c r="G11" s="225"/>
      <c r="H11" s="118"/>
      <c r="I11" s="49"/>
      <c r="J11" s="132"/>
      <c r="K11" s="49"/>
      <c r="L11" s="118"/>
      <c r="M11" s="118"/>
      <c r="N11" s="49"/>
      <c r="O11" s="43"/>
      <c r="P11" s="43"/>
      <c r="Q11" s="43"/>
      <c r="R11" s="43"/>
      <c r="S11" s="43"/>
      <c r="T11" s="43"/>
    </row>
    <row r="12" spans="1:20">
      <c r="D12" s="47" t="s">
        <v>36</v>
      </c>
      <c r="E12" s="47"/>
      <c r="F12" s="207">
        <f>SUM(F7:F11)</f>
        <v>17000000</v>
      </c>
      <c r="G12" s="207">
        <f>SUM(G7:G11)</f>
        <v>8500000</v>
      </c>
      <c r="H12" s="170"/>
      <c r="I12" s="170"/>
      <c r="J12" s="207">
        <f>SUM(J7:J11)</f>
        <v>8500000</v>
      </c>
      <c r="K12" s="60"/>
      <c r="L12" s="169">
        <f>SUM(L7:L11)</f>
        <v>0</v>
      </c>
      <c r="M12" s="168">
        <f>SUM(M7:M11)</f>
        <v>8500000</v>
      </c>
    </row>
    <row r="13" spans="1:20">
      <c r="D13" s="47"/>
      <c r="E13" s="47"/>
      <c r="F13" s="163"/>
      <c r="G13" s="403"/>
      <c r="H13" s="403"/>
    </row>
    <row r="14" spans="1:20">
      <c r="C14" s="55"/>
      <c r="D14" s="47" t="s">
        <v>76</v>
      </c>
      <c r="E14" s="47"/>
      <c r="F14" s="163">
        <f>SUM(F12-G12)</f>
        <v>8500000</v>
      </c>
    </row>
    <row r="15" spans="1:20">
      <c r="D15" s="47"/>
      <c r="E15" s="47"/>
      <c r="F15" s="159"/>
    </row>
    <row r="16" spans="1:20">
      <c r="A16" s="47"/>
      <c r="B16" s="47"/>
      <c r="D16" s="47" t="s">
        <v>16</v>
      </c>
      <c r="E16" s="47"/>
      <c r="F16" s="167">
        <f>+C1-G12+M12+D1</f>
        <v>12668316</v>
      </c>
      <c r="K16" s="60"/>
    </row>
    <row r="17" spans="1:8">
      <c r="A17" s="47"/>
      <c r="B17" s="47"/>
    </row>
    <row r="18" spans="1:8">
      <c r="A18" s="47"/>
      <c r="B18" s="47"/>
      <c r="H18" s="60"/>
    </row>
    <row r="20" spans="1:8">
      <c r="B20" s="64"/>
      <c r="C20" s="141"/>
      <c r="D20" s="141"/>
      <c r="E20" s="141"/>
    </row>
    <row r="22" spans="1:8">
      <c r="C22" s="47"/>
      <c r="D22" s="47"/>
      <c r="E22" s="47"/>
    </row>
  </sheetData>
  <mergeCells count="1">
    <mergeCell ref="G13:H13"/>
  </mergeCells>
  <phoneticPr fontId="0" type="noConversion"/>
  <pageMargins left="0.75" right="0.75" top="1" bottom="1" header="0.5" footer="0.5"/>
  <pageSetup orientation="landscape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7"/>
  <sheetViews>
    <sheetView workbookViewId="0">
      <pane xSplit="1" ySplit="7" topLeftCell="C8" activePane="bottomRight" state="frozen"/>
      <selection pane="topRight" activeCell="B1" sqref="B1"/>
      <selection pane="bottomLeft" activeCell="A8" sqref="A8"/>
      <selection pane="bottomRight" activeCell="L10" sqref="L10"/>
    </sheetView>
  </sheetViews>
  <sheetFormatPr defaultColWidth="10.85546875" defaultRowHeight="12"/>
  <cols>
    <col min="1" max="1" width="8.28515625" style="62" customWidth="1"/>
    <col min="2" max="2" width="7.85546875" style="62" bestFit="1" customWidth="1"/>
    <col min="3" max="4" width="17.7109375" style="62" customWidth="1"/>
    <col min="5" max="5" width="14.7109375" style="62" bestFit="1" customWidth="1"/>
    <col min="6" max="6" width="13.85546875" style="61" bestFit="1" customWidth="1"/>
    <col min="7" max="7" width="11.42578125" style="103" bestFit="1" customWidth="1"/>
    <col min="8" max="8" width="13.7109375" style="62" customWidth="1"/>
    <col min="9" max="9" width="9.5703125" style="62" bestFit="1" customWidth="1"/>
    <col min="10" max="10" width="11.140625" style="146" bestFit="1" customWidth="1"/>
    <col min="11" max="11" width="11" style="60" bestFit="1" customWidth="1"/>
    <col min="12" max="12" width="12.42578125" style="139" bestFit="1" customWidth="1"/>
    <col min="13" max="13" width="12.85546875" style="61" bestFit="1" customWidth="1"/>
    <col min="14" max="14" width="9.28515625" style="62" bestFit="1" customWidth="1"/>
    <col min="15" max="16384" width="10.85546875" style="62"/>
  </cols>
  <sheetData>
    <row r="1" spans="1:20" s="74" customFormat="1">
      <c r="A1" s="66" t="s">
        <v>19</v>
      </c>
      <c r="B1" s="67"/>
      <c r="C1" s="68">
        <v>89152427</v>
      </c>
      <c r="D1" s="278"/>
      <c r="E1" s="68"/>
      <c r="F1" s="109"/>
      <c r="G1" s="142"/>
      <c r="H1" s="72"/>
      <c r="I1" s="72"/>
      <c r="J1" s="143"/>
      <c r="K1" s="72"/>
      <c r="L1" s="134"/>
      <c r="M1" s="109"/>
      <c r="N1" s="73">
        <f>'SC1 MRB'!P1</f>
        <v>36893</v>
      </c>
      <c r="O1" s="54"/>
      <c r="P1" s="54"/>
      <c r="Q1" s="54"/>
      <c r="R1" s="54"/>
      <c r="S1" s="54"/>
      <c r="T1" s="54"/>
    </row>
    <row r="2" spans="1:20" s="82" customFormat="1">
      <c r="A2" s="75" t="s">
        <v>73</v>
      </c>
      <c r="B2" s="54"/>
      <c r="C2" s="96"/>
      <c r="D2" s="280"/>
      <c r="E2" s="96"/>
      <c r="G2" s="104"/>
      <c r="H2" s="80"/>
      <c r="I2" s="80"/>
      <c r="J2" s="144"/>
      <c r="K2" s="80"/>
      <c r="L2" s="136"/>
      <c r="M2" s="113"/>
      <c r="N2" s="81"/>
      <c r="O2" s="54"/>
      <c r="P2" s="54"/>
      <c r="Q2" s="54"/>
      <c r="R2" s="54"/>
      <c r="S2" s="54"/>
      <c r="T2" s="54"/>
    </row>
    <row r="3" spans="1:20" s="82" customFormat="1">
      <c r="A3" s="75"/>
      <c r="B3" s="54"/>
      <c r="C3" s="96"/>
      <c r="D3" s="111"/>
      <c r="E3" s="96"/>
      <c r="G3" s="104"/>
      <c r="H3" s="80"/>
      <c r="I3" s="80"/>
      <c r="J3" s="144"/>
      <c r="K3" s="80"/>
      <c r="L3" s="136"/>
      <c r="M3" s="113"/>
      <c r="N3" s="81"/>
      <c r="O3" s="54"/>
      <c r="P3" s="54"/>
      <c r="Q3" s="54"/>
      <c r="R3" s="54"/>
      <c r="S3" s="54"/>
      <c r="T3" s="54"/>
    </row>
    <row r="4" spans="1:20">
      <c r="A4" s="83"/>
      <c r="B4" s="82"/>
      <c r="C4" s="54"/>
      <c r="D4" s="54"/>
      <c r="E4" s="54"/>
      <c r="F4" s="111"/>
      <c r="G4" s="104"/>
      <c r="H4" s="80"/>
      <c r="I4" s="80"/>
      <c r="J4" s="144"/>
      <c r="K4" s="80"/>
      <c r="L4" s="135"/>
      <c r="M4" s="111"/>
      <c r="N4" s="81"/>
      <c r="O4" s="54"/>
      <c r="P4" s="54"/>
      <c r="Q4" s="54"/>
      <c r="R4" s="54"/>
      <c r="S4" s="54"/>
      <c r="T4" s="54"/>
    </row>
    <row r="5" spans="1:20" s="47" customFormat="1">
      <c r="A5" s="83" t="s">
        <v>54</v>
      </c>
      <c r="B5" s="54" t="s">
        <v>66</v>
      </c>
      <c r="C5" s="54" t="s">
        <v>52</v>
      </c>
      <c r="D5" s="76" t="s">
        <v>83</v>
      </c>
      <c r="E5" s="54" t="s">
        <v>79</v>
      </c>
      <c r="F5" s="113" t="s">
        <v>42</v>
      </c>
      <c r="G5" s="136" t="s">
        <v>13</v>
      </c>
      <c r="H5" s="53" t="s">
        <v>26</v>
      </c>
      <c r="I5" s="53" t="s">
        <v>56</v>
      </c>
      <c r="J5" s="84" t="s">
        <v>7</v>
      </c>
      <c r="K5" s="53" t="s">
        <v>95</v>
      </c>
      <c r="L5" s="136" t="s">
        <v>47</v>
      </c>
      <c r="M5" s="113" t="s">
        <v>78</v>
      </c>
      <c r="N5" s="81" t="s">
        <v>41</v>
      </c>
      <c r="O5" s="54"/>
      <c r="P5" s="54"/>
      <c r="Q5" s="54"/>
      <c r="R5" s="54"/>
      <c r="S5" s="54"/>
      <c r="T5" s="54"/>
    </row>
    <row r="6" spans="1:20" s="54" customFormat="1">
      <c r="A6" s="83" t="s">
        <v>82</v>
      </c>
      <c r="B6" s="82"/>
      <c r="D6" s="76"/>
      <c r="E6" s="76"/>
      <c r="F6" s="113" t="s">
        <v>75</v>
      </c>
      <c r="G6" s="136" t="s">
        <v>75</v>
      </c>
      <c r="H6" s="53" t="s">
        <v>14</v>
      </c>
      <c r="I6" s="53" t="s">
        <v>35</v>
      </c>
      <c r="J6" s="84" t="s">
        <v>75</v>
      </c>
      <c r="K6" s="53" t="s">
        <v>35</v>
      </c>
      <c r="L6" s="136" t="s">
        <v>75</v>
      </c>
      <c r="M6" s="113" t="s">
        <v>75</v>
      </c>
      <c r="N6" s="81" t="s">
        <v>8</v>
      </c>
    </row>
    <row r="7" spans="1:20" s="82" customFormat="1" ht="12.75" thickBot="1">
      <c r="A7" s="202" t="s">
        <v>39</v>
      </c>
      <c r="B7" s="99"/>
      <c r="C7" s="99"/>
      <c r="D7" s="99"/>
      <c r="E7" s="99"/>
      <c r="F7" s="119"/>
      <c r="G7" s="152"/>
      <c r="H7" s="203"/>
      <c r="I7" s="203"/>
      <c r="J7" s="204"/>
      <c r="K7" s="203"/>
      <c r="L7" s="140"/>
      <c r="M7" s="119"/>
      <c r="N7" s="205"/>
    </row>
    <row r="8" spans="1:20" s="82" customFormat="1">
      <c r="A8" s="43">
        <v>22</v>
      </c>
      <c r="B8" s="43" t="s">
        <v>368</v>
      </c>
      <c r="C8" s="43" t="s">
        <v>11</v>
      </c>
      <c r="D8" s="43" t="s">
        <v>208</v>
      </c>
      <c r="E8" s="43" t="s">
        <v>106</v>
      </c>
      <c r="F8" s="187">
        <v>15000000</v>
      </c>
      <c r="G8" s="163">
        <v>0</v>
      </c>
      <c r="H8" s="80">
        <v>36893</v>
      </c>
      <c r="I8" s="60"/>
      <c r="J8" s="146">
        <v>0</v>
      </c>
      <c r="K8" s="60"/>
      <c r="L8" s="146">
        <v>0</v>
      </c>
      <c r="M8" s="146">
        <v>0</v>
      </c>
      <c r="N8" s="60">
        <v>36897</v>
      </c>
    </row>
    <row r="9" spans="1:20" s="82" customFormat="1">
      <c r="A9" s="43">
        <v>19</v>
      </c>
      <c r="B9" s="43" t="s">
        <v>368</v>
      </c>
      <c r="C9" s="43" t="s">
        <v>11</v>
      </c>
      <c r="D9" s="43" t="s">
        <v>209</v>
      </c>
      <c r="E9" s="43" t="s">
        <v>106</v>
      </c>
      <c r="F9" s="187">
        <v>15000000</v>
      </c>
      <c r="G9" s="163">
        <v>0</v>
      </c>
      <c r="H9" s="60">
        <v>36900</v>
      </c>
      <c r="I9" s="60"/>
      <c r="J9" s="146">
        <v>0</v>
      </c>
      <c r="K9" s="60"/>
      <c r="L9" s="146">
        <v>0</v>
      </c>
      <c r="M9" s="146">
        <v>0</v>
      </c>
      <c r="N9" s="60">
        <v>36900</v>
      </c>
    </row>
    <row r="10" spans="1:20" s="82" customFormat="1">
      <c r="A10" s="43">
        <v>2984</v>
      </c>
      <c r="B10" s="43" t="s">
        <v>395</v>
      </c>
      <c r="C10" s="43" t="s">
        <v>11</v>
      </c>
      <c r="D10" s="43" t="s">
        <v>210</v>
      </c>
      <c r="E10" s="43" t="s">
        <v>106</v>
      </c>
      <c r="F10" s="187">
        <v>14000000</v>
      </c>
      <c r="G10" s="187">
        <v>14000000</v>
      </c>
      <c r="H10" s="60">
        <v>36908</v>
      </c>
      <c r="I10" s="272">
        <f>SUM(H10+35)</f>
        <v>36943</v>
      </c>
      <c r="J10" s="77">
        <v>14000000</v>
      </c>
      <c r="K10" s="272">
        <f>SUM(H10+150)</f>
        <v>37058</v>
      </c>
      <c r="L10" s="146">
        <f>12800000-'2004 CF'!M33</f>
        <v>12200000</v>
      </c>
      <c r="M10" s="159">
        <f>SUM(G10-L10)</f>
        <v>1800000</v>
      </c>
      <c r="N10" s="60">
        <v>37069</v>
      </c>
      <c r="O10" s="82" t="s">
        <v>517</v>
      </c>
    </row>
    <row r="11" spans="1:20" s="82" customFormat="1">
      <c r="A11" s="43">
        <v>17</v>
      </c>
      <c r="B11" s="43" t="s">
        <v>368</v>
      </c>
      <c r="C11" s="43" t="s">
        <v>28</v>
      </c>
      <c r="D11" s="43" t="s">
        <v>211</v>
      </c>
      <c r="E11" s="43" t="s">
        <v>185</v>
      </c>
      <c r="F11" s="187">
        <v>4600000</v>
      </c>
      <c r="G11" s="163">
        <v>0</v>
      </c>
      <c r="H11" s="60">
        <v>36914</v>
      </c>
      <c r="I11" s="80"/>
      <c r="J11" s="146">
        <v>0</v>
      </c>
      <c r="K11" s="60"/>
      <c r="L11" s="146">
        <v>0</v>
      </c>
      <c r="M11" s="146">
        <v>0</v>
      </c>
      <c r="N11" s="60">
        <v>36914</v>
      </c>
    </row>
    <row r="12" spans="1:20" s="82" customFormat="1">
      <c r="A12" s="43">
        <v>54</v>
      </c>
      <c r="B12" s="43" t="s">
        <v>368</v>
      </c>
      <c r="C12" s="43" t="s">
        <v>28</v>
      </c>
      <c r="D12" s="43" t="s">
        <v>207</v>
      </c>
      <c r="E12" s="43" t="s">
        <v>206</v>
      </c>
      <c r="F12" s="187">
        <v>15000000</v>
      </c>
      <c r="G12" s="163">
        <v>0</v>
      </c>
      <c r="H12" s="60"/>
      <c r="I12" s="80"/>
      <c r="J12" s="146">
        <v>0</v>
      </c>
      <c r="K12" s="60"/>
      <c r="L12" s="146">
        <v>0</v>
      </c>
      <c r="M12" s="146">
        <v>0</v>
      </c>
      <c r="N12" s="60">
        <v>36900</v>
      </c>
    </row>
    <row r="13" spans="1:20" s="82" customFormat="1">
      <c r="A13" s="43">
        <v>61</v>
      </c>
      <c r="B13" s="43" t="s">
        <v>368</v>
      </c>
      <c r="C13" s="43" t="s">
        <v>28</v>
      </c>
      <c r="D13" s="43" t="s">
        <v>205</v>
      </c>
      <c r="E13" s="43" t="s">
        <v>99</v>
      </c>
      <c r="F13" s="187">
        <v>15000000</v>
      </c>
      <c r="G13" s="163">
        <v>0</v>
      </c>
      <c r="H13" s="60"/>
      <c r="I13" s="80"/>
      <c r="J13" s="146">
        <v>0</v>
      </c>
      <c r="K13" s="60"/>
      <c r="L13" s="146">
        <v>0</v>
      </c>
      <c r="M13" s="146">
        <v>0</v>
      </c>
      <c r="N13" s="60">
        <v>36900</v>
      </c>
    </row>
    <row r="14" spans="1:20" s="82" customFormat="1">
      <c r="A14" s="43">
        <v>63</v>
      </c>
      <c r="B14" s="43" t="s">
        <v>307</v>
      </c>
      <c r="C14" s="43" t="s">
        <v>33</v>
      </c>
      <c r="D14" s="43" t="s">
        <v>204</v>
      </c>
      <c r="E14" s="43" t="s">
        <v>102</v>
      </c>
      <c r="F14" s="187">
        <v>15000000</v>
      </c>
      <c r="G14" s="163">
        <v>0</v>
      </c>
      <c r="H14" s="60"/>
      <c r="I14" s="80"/>
      <c r="J14" s="146">
        <v>0</v>
      </c>
      <c r="K14" s="60"/>
      <c r="L14" s="146">
        <v>0</v>
      </c>
      <c r="M14" s="146">
        <v>0</v>
      </c>
      <c r="N14" s="60">
        <v>36922</v>
      </c>
    </row>
    <row r="15" spans="1:20" s="82" customFormat="1">
      <c r="A15" s="43">
        <v>65</v>
      </c>
      <c r="B15" s="43" t="s">
        <v>368</v>
      </c>
      <c r="C15" s="43" t="s">
        <v>100</v>
      </c>
      <c r="D15" s="43" t="s">
        <v>203</v>
      </c>
      <c r="E15" s="43" t="s">
        <v>108</v>
      </c>
      <c r="F15" s="187">
        <v>15000000</v>
      </c>
      <c r="G15" s="163">
        <v>0</v>
      </c>
      <c r="H15" s="60"/>
      <c r="I15" s="80"/>
      <c r="J15" s="146">
        <v>0</v>
      </c>
      <c r="K15" s="60"/>
      <c r="L15" s="146">
        <v>0</v>
      </c>
      <c r="M15" s="146">
        <v>0</v>
      </c>
      <c r="N15" s="60">
        <v>36925</v>
      </c>
    </row>
    <row r="16" spans="1:20" s="82" customFormat="1">
      <c r="A16" s="43">
        <v>68</v>
      </c>
      <c r="B16" s="43" t="s">
        <v>368</v>
      </c>
      <c r="C16" s="43" t="s">
        <v>28</v>
      </c>
      <c r="D16" s="43" t="s">
        <v>202</v>
      </c>
      <c r="E16" s="43" t="s">
        <v>99</v>
      </c>
      <c r="F16" s="187">
        <v>15000000</v>
      </c>
      <c r="G16" s="163">
        <v>0</v>
      </c>
      <c r="H16" s="60"/>
      <c r="I16" s="80"/>
      <c r="J16" s="146">
        <v>0</v>
      </c>
      <c r="K16" s="60"/>
      <c r="L16" s="146">
        <v>0</v>
      </c>
      <c r="M16" s="146">
        <v>0</v>
      </c>
      <c r="N16" s="60">
        <v>36930</v>
      </c>
    </row>
    <row r="17" spans="1:20" s="82" customFormat="1">
      <c r="A17" s="43">
        <v>3012</v>
      </c>
      <c r="B17" s="43" t="s">
        <v>307</v>
      </c>
      <c r="C17" s="43" t="s">
        <v>28</v>
      </c>
      <c r="D17" s="43" t="s">
        <v>201</v>
      </c>
      <c r="E17" s="43" t="s">
        <v>99</v>
      </c>
      <c r="F17" s="187">
        <v>15000000</v>
      </c>
      <c r="G17" s="187">
        <v>15000000</v>
      </c>
      <c r="H17" s="60">
        <v>36932</v>
      </c>
      <c r="I17" s="272">
        <f>SUM(H17+35)</f>
        <v>36967</v>
      </c>
      <c r="J17" s="77">
        <v>0</v>
      </c>
      <c r="K17" s="272">
        <f>SUM(H17+150)</f>
        <v>37082</v>
      </c>
      <c r="L17" s="146">
        <v>0</v>
      </c>
      <c r="M17" s="159">
        <f>SUM(G17-L17)</f>
        <v>15000000</v>
      </c>
      <c r="N17" s="60">
        <v>36960</v>
      </c>
    </row>
    <row r="18" spans="1:20" s="54" customFormat="1">
      <c r="A18" s="43">
        <v>87</v>
      </c>
      <c r="B18" s="43" t="s">
        <v>368</v>
      </c>
      <c r="C18" s="43" t="s">
        <v>11</v>
      </c>
      <c r="D18" s="43" t="s">
        <v>200</v>
      </c>
      <c r="E18" s="43" t="s">
        <v>106</v>
      </c>
      <c r="F18" s="187">
        <v>15000000</v>
      </c>
      <c r="G18" s="163">
        <v>0</v>
      </c>
      <c r="H18" s="60"/>
      <c r="I18" s="80"/>
      <c r="J18" s="146">
        <v>0</v>
      </c>
      <c r="K18" s="60"/>
      <c r="L18" s="146">
        <v>0</v>
      </c>
      <c r="M18" s="146">
        <v>0</v>
      </c>
      <c r="N18" s="60">
        <v>36937</v>
      </c>
    </row>
    <row r="19" spans="1:20" s="82" customFormat="1">
      <c r="A19" s="43">
        <v>88</v>
      </c>
      <c r="B19" s="43" t="s">
        <v>368</v>
      </c>
      <c r="C19" s="43" t="s">
        <v>28</v>
      </c>
      <c r="D19" s="43" t="s">
        <v>199</v>
      </c>
      <c r="E19" s="43" t="s">
        <v>107</v>
      </c>
      <c r="F19" s="187">
        <v>15000000</v>
      </c>
      <c r="G19" s="163">
        <v>0</v>
      </c>
      <c r="H19" s="60"/>
      <c r="I19" s="80"/>
      <c r="J19" s="146">
        <v>0</v>
      </c>
      <c r="K19" s="60"/>
      <c r="L19" s="146">
        <v>0</v>
      </c>
      <c r="M19" s="146">
        <v>0</v>
      </c>
      <c r="N19" s="60">
        <v>36930</v>
      </c>
    </row>
    <row r="20" spans="1:20" s="82" customFormat="1">
      <c r="A20" s="43">
        <v>98</v>
      </c>
      <c r="B20" s="43" t="s">
        <v>307</v>
      </c>
      <c r="C20" s="43" t="s">
        <v>28</v>
      </c>
      <c r="D20" s="43" t="s">
        <v>198</v>
      </c>
      <c r="E20" s="43" t="s">
        <v>101</v>
      </c>
      <c r="F20" s="187">
        <v>15000000</v>
      </c>
      <c r="G20" s="163">
        <v>0</v>
      </c>
      <c r="H20" s="60"/>
      <c r="I20" s="80"/>
      <c r="J20" s="146">
        <v>0</v>
      </c>
      <c r="K20" s="60"/>
      <c r="L20" s="146">
        <v>0</v>
      </c>
      <c r="M20" s="146">
        <v>0</v>
      </c>
      <c r="N20" s="60">
        <v>36937</v>
      </c>
    </row>
    <row r="21" spans="1:20" s="54" customFormat="1">
      <c r="A21" s="43">
        <v>107</v>
      </c>
      <c r="B21" s="43" t="s">
        <v>307</v>
      </c>
      <c r="C21" s="43" t="s">
        <v>28</v>
      </c>
      <c r="D21" s="43" t="s">
        <v>197</v>
      </c>
      <c r="E21" s="43" t="s">
        <v>99</v>
      </c>
      <c r="F21" s="187">
        <v>15000000</v>
      </c>
      <c r="G21" s="163">
        <v>0</v>
      </c>
      <c r="H21" s="60"/>
      <c r="I21" s="80"/>
      <c r="J21" s="146">
        <v>0</v>
      </c>
      <c r="K21" s="60"/>
      <c r="L21" s="146">
        <v>0</v>
      </c>
      <c r="M21" s="146">
        <v>0</v>
      </c>
      <c r="N21" s="60">
        <v>36937</v>
      </c>
    </row>
    <row r="22" spans="1:20">
      <c r="A22" s="43">
        <v>3013</v>
      </c>
      <c r="B22" s="43" t="s">
        <v>307</v>
      </c>
      <c r="C22" s="43" t="s">
        <v>51</v>
      </c>
      <c r="D22" s="43" t="s">
        <v>196</v>
      </c>
      <c r="E22" s="43" t="s">
        <v>192</v>
      </c>
      <c r="F22" s="187">
        <v>15000000</v>
      </c>
      <c r="G22" s="187">
        <v>15000000</v>
      </c>
      <c r="H22" s="60">
        <v>36943</v>
      </c>
      <c r="I22" s="272">
        <f>SUM(H22+35)</f>
        <v>36978</v>
      </c>
      <c r="J22" s="77">
        <v>15000000</v>
      </c>
      <c r="K22" s="272">
        <f>SUM(H22+150)</f>
        <v>37093</v>
      </c>
      <c r="L22" s="146">
        <v>0</v>
      </c>
      <c r="M22" s="159">
        <f>SUM(G22-L22)</f>
        <v>15000000</v>
      </c>
      <c r="N22" s="60">
        <v>37048</v>
      </c>
    </row>
    <row r="23" spans="1:20">
      <c r="A23" s="43">
        <v>114</v>
      </c>
      <c r="B23" s="43" t="s">
        <v>307</v>
      </c>
      <c r="C23" s="43" t="s">
        <v>22</v>
      </c>
      <c r="D23" s="43" t="s">
        <v>195</v>
      </c>
      <c r="E23" s="43" t="s">
        <v>103</v>
      </c>
      <c r="F23" s="187">
        <v>15000000</v>
      </c>
      <c r="G23" s="163">
        <v>0</v>
      </c>
      <c r="H23" s="60"/>
      <c r="I23" s="80"/>
      <c r="J23" s="146">
        <v>0</v>
      </c>
      <c r="L23" s="146">
        <v>0</v>
      </c>
      <c r="M23" s="146">
        <v>0</v>
      </c>
      <c r="N23" s="60">
        <v>36938</v>
      </c>
    </row>
    <row r="24" spans="1:20">
      <c r="A24" s="43">
        <v>115</v>
      </c>
      <c r="B24" s="43" t="s">
        <v>307</v>
      </c>
      <c r="C24" s="43" t="s">
        <v>11</v>
      </c>
      <c r="D24" s="43" t="s">
        <v>194</v>
      </c>
      <c r="E24" s="43" t="s">
        <v>106</v>
      </c>
      <c r="F24" s="187">
        <v>14000000</v>
      </c>
      <c r="G24" s="163">
        <v>0</v>
      </c>
      <c r="H24" s="60"/>
      <c r="I24" s="80"/>
      <c r="J24" s="146">
        <v>0</v>
      </c>
      <c r="L24" s="146">
        <v>0</v>
      </c>
      <c r="M24" s="146">
        <v>0</v>
      </c>
      <c r="N24" s="60">
        <v>36945</v>
      </c>
    </row>
    <row r="25" spans="1:20">
      <c r="A25" s="43">
        <v>145</v>
      </c>
      <c r="B25" s="43" t="s">
        <v>307</v>
      </c>
      <c r="C25" s="43" t="s">
        <v>51</v>
      </c>
      <c r="D25" s="43" t="s">
        <v>193</v>
      </c>
      <c r="E25" s="43" t="s">
        <v>192</v>
      </c>
      <c r="F25" s="187">
        <v>14000000</v>
      </c>
      <c r="G25" s="187">
        <v>0</v>
      </c>
      <c r="J25" s="146">
        <v>0</v>
      </c>
      <c r="L25" s="146">
        <v>0</v>
      </c>
      <c r="M25" s="146">
        <v>0</v>
      </c>
      <c r="N25" s="60">
        <v>36946</v>
      </c>
    </row>
    <row r="26" spans="1:20">
      <c r="A26" s="43">
        <v>3</v>
      </c>
      <c r="B26" s="43" t="s">
        <v>368</v>
      </c>
      <c r="C26" s="43" t="s">
        <v>100</v>
      </c>
      <c r="D26" s="43" t="s">
        <v>429</v>
      </c>
      <c r="E26" s="43" t="s">
        <v>191</v>
      </c>
      <c r="F26" s="187">
        <v>15000000</v>
      </c>
      <c r="G26" s="187">
        <v>0</v>
      </c>
      <c r="J26" s="146">
        <v>0</v>
      </c>
      <c r="L26" s="146">
        <v>0</v>
      </c>
      <c r="M26" s="146">
        <v>0</v>
      </c>
      <c r="N26" s="60">
        <v>36951</v>
      </c>
      <c r="O26" s="43"/>
      <c r="P26" s="43"/>
      <c r="Q26" s="43"/>
      <c r="R26" s="43"/>
      <c r="S26" s="43"/>
      <c r="T26" s="43"/>
    </row>
    <row r="27" spans="1:20">
      <c r="A27" s="43">
        <v>11</v>
      </c>
      <c r="B27" s="43" t="s">
        <v>368</v>
      </c>
      <c r="C27" s="43" t="s">
        <v>100</v>
      </c>
      <c r="D27" s="43" t="s">
        <v>190</v>
      </c>
      <c r="E27" s="43" t="s">
        <v>108</v>
      </c>
      <c r="F27" s="187">
        <v>15000000</v>
      </c>
      <c r="G27" s="187">
        <v>0</v>
      </c>
      <c r="J27" s="146">
        <v>0</v>
      </c>
      <c r="L27" s="146">
        <v>0</v>
      </c>
      <c r="M27" s="146">
        <v>0</v>
      </c>
      <c r="N27" s="60">
        <v>36957</v>
      </c>
      <c r="O27" s="43"/>
      <c r="P27" s="43"/>
      <c r="Q27" s="43"/>
      <c r="R27" s="43"/>
      <c r="S27" s="43"/>
      <c r="T27" s="43"/>
    </row>
    <row r="28" spans="1:20">
      <c r="A28" s="43">
        <v>26</v>
      </c>
      <c r="B28" s="43" t="s">
        <v>368</v>
      </c>
      <c r="C28" s="43" t="s">
        <v>104</v>
      </c>
      <c r="D28" s="43"/>
      <c r="E28" s="43" t="s">
        <v>105</v>
      </c>
      <c r="F28" s="187">
        <v>15000000</v>
      </c>
      <c r="G28" s="187">
        <v>0</v>
      </c>
      <c r="J28" s="146">
        <v>0</v>
      </c>
      <c r="L28" s="146">
        <v>0</v>
      </c>
      <c r="M28" s="146">
        <v>0</v>
      </c>
      <c r="N28" s="60">
        <v>36958</v>
      </c>
      <c r="O28" s="43"/>
      <c r="P28" s="43"/>
      <c r="Q28" s="43"/>
      <c r="R28" s="43"/>
      <c r="S28" s="43"/>
      <c r="T28" s="43"/>
    </row>
    <row r="29" spans="1:20">
      <c r="A29" s="43">
        <v>44</v>
      </c>
      <c r="B29" s="43" t="s">
        <v>368</v>
      </c>
      <c r="C29" s="43" t="s">
        <v>100</v>
      </c>
      <c r="D29" s="43" t="s">
        <v>189</v>
      </c>
      <c r="E29" s="43" t="s">
        <v>108</v>
      </c>
      <c r="F29" s="187">
        <v>15000000</v>
      </c>
      <c r="G29" s="187">
        <v>0</v>
      </c>
      <c r="J29" s="146">
        <v>0</v>
      </c>
      <c r="L29" s="146">
        <v>0</v>
      </c>
      <c r="M29" s="146">
        <v>0</v>
      </c>
      <c r="N29" s="60">
        <v>36958</v>
      </c>
      <c r="O29" s="43"/>
      <c r="P29" s="43"/>
      <c r="Q29" s="43"/>
      <c r="R29" s="43"/>
      <c r="S29" s="43"/>
      <c r="T29" s="43"/>
    </row>
    <row r="30" spans="1:20">
      <c r="A30" s="43">
        <v>1</v>
      </c>
      <c r="B30" s="43" t="s">
        <v>307</v>
      </c>
      <c r="C30" s="43" t="s">
        <v>22</v>
      </c>
      <c r="D30" s="43" t="s">
        <v>188</v>
      </c>
      <c r="E30" s="43" t="s">
        <v>187</v>
      </c>
      <c r="F30" s="187">
        <v>15000000</v>
      </c>
      <c r="G30" s="187">
        <v>0</v>
      </c>
      <c r="J30" s="146">
        <v>0</v>
      </c>
      <c r="L30" s="146">
        <v>0</v>
      </c>
      <c r="M30" s="146">
        <v>0</v>
      </c>
      <c r="N30" s="60">
        <v>36960</v>
      </c>
    </row>
    <row r="31" spans="1:20">
      <c r="A31" s="43">
        <v>80</v>
      </c>
      <c r="B31" s="43" t="s">
        <v>307</v>
      </c>
      <c r="C31" s="43" t="s">
        <v>28</v>
      </c>
      <c r="D31" s="43" t="s">
        <v>186</v>
      </c>
      <c r="E31" s="43" t="s">
        <v>185</v>
      </c>
      <c r="F31" s="187">
        <v>14732633</v>
      </c>
      <c r="G31" s="187">
        <v>0</v>
      </c>
      <c r="J31" s="146">
        <v>0</v>
      </c>
      <c r="L31" s="146">
        <v>0</v>
      </c>
      <c r="M31" s="146">
        <v>0</v>
      </c>
      <c r="N31" s="60">
        <v>36960</v>
      </c>
    </row>
    <row r="32" spans="1:20">
      <c r="A32" s="43">
        <v>103</v>
      </c>
      <c r="B32" s="43" t="s">
        <v>368</v>
      </c>
      <c r="C32" s="43" t="s">
        <v>100</v>
      </c>
      <c r="D32" s="43" t="s">
        <v>184</v>
      </c>
      <c r="E32" s="43" t="s">
        <v>183</v>
      </c>
      <c r="F32" s="187">
        <v>15000000</v>
      </c>
      <c r="G32" s="187">
        <v>0</v>
      </c>
      <c r="J32" s="146">
        <v>0</v>
      </c>
      <c r="L32" s="146">
        <v>0</v>
      </c>
      <c r="M32" s="146">
        <v>0</v>
      </c>
      <c r="N32" s="60">
        <v>36964</v>
      </c>
    </row>
    <row r="33" spans="1:14">
      <c r="A33" s="43">
        <v>108</v>
      </c>
      <c r="B33" s="43" t="s">
        <v>307</v>
      </c>
      <c r="C33" s="43" t="s">
        <v>51</v>
      </c>
      <c r="D33" s="43" t="s">
        <v>182</v>
      </c>
      <c r="E33" s="43" t="s">
        <v>109</v>
      </c>
      <c r="F33" s="187">
        <v>15000000</v>
      </c>
      <c r="G33" s="187">
        <v>0</v>
      </c>
      <c r="J33" s="146">
        <v>0</v>
      </c>
      <c r="L33" s="146">
        <v>0</v>
      </c>
      <c r="M33" s="146">
        <v>0</v>
      </c>
      <c r="N33" s="60">
        <v>36971</v>
      </c>
    </row>
    <row r="34" spans="1:14">
      <c r="A34" s="43">
        <v>118</v>
      </c>
      <c r="B34" s="43" t="s">
        <v>307</v>
      </c>
      <c r="C34" s="43" t="s">
        <v>24</v>
      </c>
      <c r="D34" s="43" t="s">
        <v>181</v>
      </c>
      <c r="E34" s="43" t="s">
        <v>106</v>
      </c>
      <c r="F34" s="187">
        <v>9500000</v>
      </c>
      <c r="G34" s="187">
        <v>0</v>
      </c>
      <c r="J34" s="146">
        <v>0</v>
      </c>
      <c r="L34" s="146">
        <v>0</v>
      </c>
      <c r="M34" s="146">
        <v>0</v>
      </c>
      <c r="N34" s="60">
        <v>36972</v>
      </c>
    </row>
    <row r="35" spans="1:14">
      <c r="A35" s="43">
        <v>138</v>
      </c>
      <c r="B35" s="43" t="s">
        <v>307</v>
      </c>
      <c r="C35" s="43" t="s">
        <v>24</v>
      </c>
      <c r="D35" s="43" t="s">
        <v>180</v>
      </c>
      <c r="E35" s="43" t="s">
        <v>106</v>
      </c>
      <c r="F35" s="187">
        <v>8500000</v>
      </c>
      <c r="G35" s="187">
        <v>0</v>
      </c>
      <c r="J35" s="146">
        <v>0</v>
      </c>
      <c r="L35" s="146">
        <v>0</v>
      </c>
      <c r="M35" s="146">
        <v>0</v>
      </c>
      <c r="N35" s="60">
        <v>36972</v>
      </c>
    </row>
    <row r="36" spans="1:14">
      <c r="A36" s="43">
        <v>3021</v>
      </c>
      <c r="B36" s="108" t="s">
        <v>307</v>
      </c>
      <c r="C36" s="108" t="s">
        <v>100</v>
      </c>
      <c r="D36" s="62" t="s">
        <v>388</v>
      </c>
      <c r="E36" s="108" t="s">
        <v>389</v>
      </c>
      <c r="F36" s="163">
        <v>15000000</v>
      </c>
      <c r="G36" s="163">
        <v>15000000</v>
      </c>
      <c r="H36" s="60">
        <v>36979</v>
      </c>
      <c r="I36" s="272">
        <f>SUM(H36+35)</f>
        <v>37014</v>
      </c>
      <c r="J36" s="77">
        <v>15000000</v>
      </c>
      <c r="K36" s="272">
        <f>SUM(H36+150)</f>
        <v>37129</v>
      </c>
      <c r="L36" s="146">
        <v>0</v>
      </c>
      <c r="M36" s="159">
        <f>SUM(G36-L36)</f>
        <v>15000000</v>
      </c>
      <c r="N36" s="60">
        <v>37036</v>
      </c>
    </row>
    <row r="37" spans="1:14">
      <c r="A37" s="352">
        <v>3041</v>
      </c>
      <c r="B37" s="108" t="s">
        <v>307</v>
      </c>
      <c r="C37" s="43" t="s">
        <v>28</v>
      </c>
      <c r="D37" s="108" t="s">
        <v>484</v>
      </c>
      <c r="E37" s="108" t="s">
        <v>99</v>
      </c>
      <c r="F37" s="159">
        <v>14000000</v>
      </c>
      <c r="G37" s="159">
        <v>14000000</v>
      </c>
      <c r="H37" s="60">
        <v>37041</v>
      </c>
      <c r="I37" s="272">
        <f>SUM(H37+35)</f>
        <v>37076</v>
      </c>
      <c r="J37" s="77">
        <v>14000000</v>
      </c>
      <c r="K37" s="272">
        <f>SUM(H37+150)</f>
        <v>37191</v>
      </c>
      <c r="L37" s="146">
        <v>0</v>
      </c>
      <c r="M37" s="159">
        <f>SUM(G37-L37)</f>
        <v>14000000</v>
      </c>
      <c r="N37" s="60">
        <v>37154</v>
      </c>
    </row>
    <row r="38" spans="1:14" s="47" customFormat="1">
      <c r="A38" s="325"/>
      <c r="B38" s="173"/>
      <c r="C38" s="46"/>
      <c r="D38" s="173"/>
      <c r="E38" s="173"/>
      <c r="F38" s="179"/>
      <c r="G38" s="179"/>
      <c r="H38" s="49"/>
      <c r="I38" s="258"/>
      <c r="J38" s="84"/>
      <c r="K38" s="258"/>
      <c r="L38" s="50"/>
      <c r="M38" s="118"/>
    </row>
    <row r="39" spans="1:14">
      <c r="C39" s="55"/>
      <c r="D39" s="47" t="s">
        <v>36</v>
      </c>
      <c r="E39" s="47"/>
      <c r="F39" s="207">
        <f>SUM(F7:F37)</f>
        <v>423332633</v>
      </c>
      <c r="G39" s="304">
        <f>SUM(G7:G37)</f>
        <v>73000000</v>
      </c>
      <c r="H39" s="170"/>
      <c r="I39" s="60"/>
      <c r="J39" s="207">
        <f>SUM(J7:J37)</f>
        <v>58000000</v>
      </c>
      <c r="L39" s="207">
        <f>SUM(L7:L37)</f>
        <v>12200000</v>
      </c>
      <c r="M39" s="207">
        <f>SUM(M7:M37)</f>
        <v>60800000</v>
      </c>
    </row>
    <row r="40" spans="1:14">
      <c r="D40" s="47"/>
      <c r="E40" s="47"/>
      <c r="F40" s="159"/>
    </row>
    <row r="41" spans="1:14">
      <c r="A41" s="47"/>
      <c r="B41" s="47"/>
      <c r="D41" s="47" t="s">
        <v>76</v>
      </c>
      <c r="E41" s="47"/>
      <c r="F41" s="159">
        <f>SUM(F39-G39)</f>
        <v>350332633</v>
      </c>
    </row>
    <row r="42" spans="1:14">
      <c r="A42" s="47"/>
      <c r="B42" s="47"/>
      <c r="D42" s="47"/>
      <c r="E42" s="47"/>
    </row>
    <row r="43" spans="1:14">
      <c r="A43" s="47"/>
      <c r="B43" s="47"/>
      <c r="D43" s="47" t="s">
        <v>16</v>
      </c>
      <c r="E43" s="47"/>
      <c r="F43" s="168">
        <f>+C1-G39+M39</f>
        <v>76952427</v>
      </c>
    </row>
    <row r="45" spans="1:14">
      <c r="B45" s="64"/>
      <c r="C45" s="141"/>
      <c r="D45" s="141"/>
      <c r="E45" s="141"/>
      <c r="F45" s="93"/>
    </row>
    <row r="47" spans="1:14">
      <c r="C47" s="47"/>
      <c r="D47" s="47"/>
      <c r="E47" s="47"/>
      <c r="F47" s="93"/>
    </row>
    <row r="48" spans="1:14">
      <c r="G48" s="302"/>
    </row>
    <row r="51" spans="1:6">
      <c r="A51" s="108"/>
      <c r="B51" s="108"/>
      <c r="C51" s="108"/>
      <c r="D51" s="108"/>
      <c r="E51" s="108"/>
      <c r="F51" s="108"/>
    </row>
    <row r="53" spans="1:6">
      <c r="A53" s="240"/>
      <c r="B53" s="240"/>
      <c r="C53" s="240"/>
      <c r="D53" s="240"/>
      <c r="E53" s="240"/>
      <c r="F53" s="240"/>
    </row>
    <row r="55" spans="1:6">
      <c r="A55" s="239"/>
      <c r="B55" s="239"/>
      <c r="C55" s="239"/>
      <c r="D55" s="239"/>
      <c r="E55" s="239"/>
      <c r="F55" s="239"/>
    </row>
    <row r="57" spans="1:6">
      <c r="A57" s="239"/>
      <c r="B57" s="239"/>
      <c r="C57" s="239"/>
      <c r="D57" s="239"/>
      <c r="E57" s="239"/>
      <c r="F57" s="239"/>
    </row>
  </sheetData>
  <phoneticPr fontId="0" type="noConversion"/>
  <pageMargins left="0.75" right="0.75" top="1" bottom="1" header="0.5" footer="0.5"/>
  <pageSetup fitToWidth="2" fitToHeight="3" orientation="landscape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"/>
  <sheetViews>
    <sheetView workbookViewId="0">
      <pane xSplit="1" ySplit="7" topLeftCell="C19" activePane="bottomRight" state="frozen"/>
      <selection pane="topRight" activeCell="B1" sqref="B1"/>
      <selection pane="bottomLeft" activeCell="A8" sqref="A8"/>
      <selection pane="bottomRight" activeCell="M54" sqref="M54"/>
    </sheetView>
  </sheetViews>
  <sheetFormatPr defaultColWidth="10.85546875" defaultRowHeight="12"/>
  <cols>
    <col min="1" max="1" width="8.28515625" style="62" customWidth="1"/>
    <col min="2" max="2" width="7.85546875" style="62" bestFit="1" customWidth="1"/>
    <col min="3" max="3" width="17.7109375" style="62" customWidth="1"/>
    <col min="4" max="4" width="23.28515625" style="62" customWidth="1"/>
    <col min="5" max="5" width="13.85546875" style="62" bestFit="1" customWidth="1"/>
    <col min="6" max="6" width="12.85546875" style="61" bestFit="1" customWidth="1"/>
    <col min="7" max="7" width="11.42578125" style="93" customWidth="1"/>
    <col min="8" max="8" width="13.7109375" style="62" bestFit="1" customWidth="1"/>
    <col min="9" max="9" width="11.42578125" style="62" customWidth="1"/>
    <col min="10" max="10" width="11.5703125" style="92" bestFit="1" customWidth="1"/>
    <col min="11" max="11" width="11" style="62" bestFit="1" customWidth="1"/>
    <col min="12" max="12" width="12.42578125" style="139" bestFit="1" customWidth="1"/>
    <col min="13" max="13" width="11.5703125" style="61" bestFit="1" customWidth="1"/>
    <col min="14" max="14" width="9.28515625" style="62" bestFit="1" customWidth="1"/>
    <col min="15" max="16384" width="10.85546875" style="62"/>
  </cols>
  <sheetData>
    <row r="1" spans="1:20" s="74" customFormat="1">
      <c r="A1" s="66" t="s">
        <v>19</v>
      </c>
      <c r="B1" s="67"/>
      <c r="C1" s="68">
        <v>78855186</v>
      </c>
      <c r="D1" s="278"/>
      <c r="E1" s="68"/>
      <c r="F1" s="109"/>
      <c r="G1" s="110"/>
      <c r="N1" s="73">
        <f>'SC1 MRB'!P1</f>
        <v>36893</v>
      </c>
      <c r="O1" s="54"/>
      <c r="P1" s="54"/>
      <c r="Q1" s="54"/>
      <c r="R1" s="54"/>
      <c r="S1" s="54"/>
      <c r="T1" s="54"/>
    </row>
    <row r="2" spans="1:20" s="82" customFormat="1">
      <c r="A2" s="75" t="s">
        <v>71</v>
      </c>
      <c r="B2" s="54"/>
      <c r="C2" s="96"/>
      <c r="D2" s="280"/>
      <c r="E2" s="96"/>
      <c r="G2" s="112"/>
      <c r="I2" s="53"/>
      <c r="M2" s="113"/>
      <c r="N2" s="81"/>
      <c r="O2" s="54"/>
      <c r="P2" s="54"/>
      <c r="Q2" s="54"/>
      <c r="R2" s="54"/>
      <c r="S2" s="54"/>
      <c r="T2" s="54"/>
    </row>
    <row r="3" spans="1:20" s="82" customFormat="1">
      <c r="A3" s="75"/>
      <c r="B3" s="54"/>
      <c r="C3" s="96"/>
      <c r="D3" s="111"/>
      <c r="E3" s="96"/>
      <c r="G3" s="112"/>
      <c r="H3" s="80"/>
      <c r="I3" s="80"/>
      <c r="J3" s="77"/>
      <c r="K3" s="80"/>
      <c r="L3" s="136"/>
      <c r="M3" s="113"/>
      <c r="N3" s="81"/>
      <c r="O3" s="54"/>
      <c r="P3" s="54"/>
      <c r="Q3" s="54"/>
      <c r="R3" s="54"/>
      <c r="S3" s="54"/>
      <c r="T3" s="54"/>
    </row>
    <row r="4" spans="1:20">
      <c r="A4" s="83"/>
      <c r="B4" s="82"/>
      <c r="C4" s="54"/>
      <c r="D4" s="54"/>
      <c r="E4" s="54"/>
      <c r="F4" s="111"/>
      <c r="G4" s="112"/>
      <c r="H4" s="80"/>
      <c r="I4" s="80"/>
      <c r="J4" s="77"/>
      <c r="K4" s="80"/>
      <c r="L4" s="135"/>
      <c r="M4" s="111"/>
      <c r="N4" s="81"/>
      <c r="O4" s="54"/>
      <c r="P4" s="54"/>
      <c r="Q4" s="54"/>
      <c r="R4" s="54"/>
      <c r="S4" s="54"/>
      <c r="T4" s="54"/>
    </row>
    <row r="5" spans="1:20" s="47" customFormat="1">
      <c r="A5" s="83" t="s">
        <v>54</v>
      </c>
      <c r="B5" s="54" t="s">
        <v>66</v>
      </c>
      <c r="C5" s="54" t="s">
        <v>52</v>
      </c>
      <c r="D5" s="76" t="s">
        <v>83</v>
      </c>
      <c r="E5" s="54" t="s">
        <v>79</v>
      </c>
      <c r="F5" s="113" t="s">
        <v>42</v>
      </c>
      <c r="G5" s="114" t="s">
        <v>13</v>
      </c>
      <c r="H5" s="53" t="s">
        <v>26</v>
      </c>
      <c r="I5" s="53" t="s">
        <v>56</v>
      </c>
      <c r="J5" s="84" t="s">
        <v>7</v>
      </c>
      <c r="K5" s="53" t="s">
        <v>95</v>
      </c>
      <c r="L5" s="136" t="s">
        <v>47</v>
      </c>
      <c r="M5" s="113" t="s">
        <v>78</v>
      </c>
      <c r="N5" s="81" t="s">
        <v>41</v>
      </c>
      <c r="O5" s="54"/>
      <c r="P5" s="54"/>
      <c r="Q5" s="54"/>
      <c r="R5" s="54"/>
      <c r="S5" s="54"/>
      <c r="T5" s="54"/>
    </row>
    <row r="6" spans="1:20" s="54" customFormat="1">
      <c r="A6" s="83" t="s">
        <v>82</v>
      </c>
      <c r="B6" s="82"/>
      <c r="D6" s="76"/>
      <c r="E6" s="76"/>
      <c r="F6" s="113" t="s">
        <v>75</v>
      </c>
      <c r="G6" s="114" t="s">
        <v>75</v>
      </c>
      <c r="H6" s="53" t="s">
        <v>14</v>
      </c>
      <c r="I6" s="53" t="s">
        <v>35</v>
      </c>
      <c r="J6" s="84" t="s">
        <v>75</v>
      </c>
      <c r="K6" s="53" t="s">
        <v>35</v>
      </c>
      <c r="L6" s="136" t="s">
        <v>75</v>
      </c>
      <c r="M6" s="113" t="s">
        <v>75</v>
      </c>
      <c r="N6" s="81" t="s">
        <v>8</v>
      </c>
    </row>
    <row r="7" spans="1:20" s="47" customFormat="1" ht="12.75" thickBot="1">
      <c r="A7" s="98" t="s">
        <v>53</v>
      </c>
      <c r="B7" s="85"/>
      <c r="C7" s="85"/>
      <c r="D7" s="85"/>
      <c r="E7" s="85"/>
      <c r="F7" s="115"/>
      <c r="G7" s="116"/>
      <c r="H7" s="101"/>
      <c r="I7" s="101"/>
      <c r="J7" s="137"/>
      <c r="K7" s="101"/>
      <c r="L7" s="138"/>
      <c r="M7" s="115"/>
      <c r="N7" s="102" t="s">
        <v>14</v>
      </c>
      <c r="O7" s="54"/>
      <c r="P7" s="54"/>
      <c r="Q7" s="54"/>
      <c r="R7" s="54"/>
      <c r="S7" s="54"/>
      <c r="T7" s="54"/>
    </row>
    <row r="8" spans="1:20" s="82" customFormat="1">
      <c r="A8" s="117" t="s">
        <v>39</v>
      </c>
      <c r="B8" s="62"/>
      <c r="C8" s="62"/>
      <c r="D8" s="62"/>
      <c r="E8" s="62"/>
      <c r="F8" s="61"/>
      <c r="G8" s="93"/>
      <c r="H8" s="60"/>
      <c r="I8" s="60"/>
      <c r="J8" s="92"/>
      <c r="K8" s="60"/>
      <c r="L8" s="139"/>
      <c r="M8" s="61"/>
      <c r="N8" s="60"/>
    </row>
    <row r="9" spans="1:20" s="82" customFormat="1" ht="12.75">
      <c r="A9" s="43">
        <v>7</v>
      </c>
      <c r="B9" s="43" t="s">
        <v>368</v>
      </c>
      <c r="C9" s="43" t="s">
        <v>77</v>
      </c>
      <c r="D9" s="43" t="s">
        <v>245</v>
      </c>
      <c r="E9" s="43" t="s">
        <v>113</v>
      </c>
      <c r="F9" s="187">
        <v>15000000</v>
      </c>
      <c r="G9" s="165">
        <v>0</v>
      </c>
      <c r="H9" s="212">
        <v>36900</v>
      </c>
      <c r="I9" s="212"/>
      <c r="J9" s="77">
        <v>0</v>
      </c>
      <c r="K9" s="80"/>
      <c r="L9" s="165">
        <v>0</v>
      </c>
      <c r="M9" s="77">
        <v>0</v>
      </c>
      <c r="N9" s="80">
        <v>36900</v>
      </c>
    </row>
    <row r="10" spans="1:20" s="82" customFormat="1">
      <c r="A10" s="43">
        <v>2985</v>
      </c>
      <c r="B10" s="43" t="s">
        <v>307</v>
      </c>
      <c r="C10" s="43" t="s">
        <v>77</v>
      </c>
      <c r="D10" s="43" t="s">
        <v>226</v>
      </c>
      <c r="E10" s="43" t="s">
        <v>111</v>
      </c>
      <c r="F10" s="187">
        <v>15000000</v>
      </c>
      <c r="G10" s="187">
        <v>15000000</v>
      </c>
      <c r="H10" s="80">
        <v>36909</v>
      </c>
      <c r="I10" s="272">
        <f>SUM(H10+35)</f>
        <v>36944</v>
      </c>
      <c r="J10" s="77">
        <v>15000000</v>
      </c>
      <c r="K10" s="272">
        <f>SUM(H10+150)</f>
        <v>37059</v>
      </c>
      <c r="L10" s="165">
        <v>0</v>
      </c>
      <c r="M10" s="165">
        <f>SUM(G10-L10)</f>
        <v>15000000</v>
      </c>
      <c r="N10" s="80">
        <v>37036</v>
      </c>
    </row>
    <row r="11" spans="1:20" s="82" customFormat="1" ht="11.25" customHeight="1">
      <c r="A11" s="43">
        <v>9</v>
      </c>
      <c r="B11" s="43" t="s">
        <v>307</v>
      </c>
      <c r="C11" s="43" t="s">
        <v>1</v>
      </c>
      <c r="D11" s="43" t="s">
        <v>227</v>
      </c>
      <c r="E11" s="43" t="s">
        <v>228</v>
      </c>
      <c r="F11" s="187">
        <v>15000000</v>
      </c>
      <c r="G11" s="165">
        <v>0</v>
      </c>
      <c r="H11" s="80">
        <v>36921</v>
      </c>
      <c r="I11" s="80"/>
      <c r="J11" s="77">
        <v>0</v>
      </c>
      <c r="K11" s="80"/>
      <c r="L11" s="165">
        <v>0</v>
      </c>
      <c r="M11" s="77">
        <v>0</v>
      </c>
      <c r="N11" s="80">
        <v>36921</v>
      </c>
    </row>
    <row r="12" spans="1:20" s="82" customFormat="1">
      <c r="A12" s="43">
        <v>3002</v>
      </c>
      <c r="B12" s="43" t="s">
        <v>368</v>
      </c>
      <c r="C12" s="43" t="s">
        <v>229</v>
      </c>
      <c r="D12" s="43" t="s">
        <v>230</v>
      </c>
      <c r="E12" s="43" t="s">
        <v>127</v>
      </c>
      <c r="F12" s="187">
        <v>15000000</v>
      </c>
      <c r="G12" s="187">
        <v>15000000</v>
      </c>
      <c r="H12" s="80">
        <v>36917</v>
      </c>
      <c r="I12" s="272">
        <f>SUM(H12+35)</f>
        <v>36952</v>
      </c>
      <c r="J12" s="77">
        <v>0</v>
      </c>
      <c r="K12" s="272">
        <f>SUM(H12+150)</f>
        <v>37067</v>
      </c>
      <c r="L12" s="165">
        <v>0</v>
      </c>
      <c r="M12" s="165">
        <f>SUM(G12-L12)</f>
        <v>15000000</v>
      </c>
      <c r="N12" s="80">
        <v>36991</v>
      </c>
    </row>
    <row r="13" spans="1:20" s="82" customFormat="1">
      <c r="A13" s="43">
        <v>3003</v>
      </c>
      <c r="B13" s="43" t="s">
        <v>307</v>
      </c>
      <c r="C13" s="43" t="s">
        <v>1</v>
      </c>
      <c r="D13" s="43" t="s">
        <v>246</v>
      </c>
      <c r="E13" s="43" t="s">
        <v>247</v>
      </c>
      <c r="F13" s="187">
        <v>15000000</v>
      </c>
      <c r="G13" s="187">
        <v>15000000</v>
      </c>
      <c r="H13" s="80">
        <v>36917</v>
      </c>
      <c r="I13" s="272">
        <f>SUM(H13+35)</f>
        <v>36952</v>
      </c>
      <c r="J13" s="77">
        <v>15000000</v>
      </c>
      <c r="K13" s="272">
        <f>SUM(H13+150)</f>
        <v>37067</v>
      </c>
      <c r="L13" s="165">
        <v>0</v>
      </c>
      <c r="M13" s="165">
        <f>SUM(G13-L13)</f>
        <v>15000000</v>
      </c>
      <c r="N13" s="80">
        <v>36966</v>
      </c>
    </row>
    <row r="14" spans="1:20" s="82" customFormat="1">
      <c r="A14" s="43">
        <v>41</v>
      </c>
      <c r="B14" s="43" t="s">
        <v>307</v>
      </c>
      <c r="C14" s="43" t="s">
        <v>77</v>
      </c>
      <c r="D14" s="43" t="s">
        <v>231</v>
      </c>
      <c r="E14" s="43" t="s">
        <v>115</v>
      </c>
      <c r="F14" s="187">
        <v>15000000</v>
      </c>
      <c r="G14" s="187">
        <v>0</v>
      </c>
      <c r="H14" s="80"/>
      <c r="I14" s="80"/>
      <c r="J14" s="77">
        <v>0</v>
      </c>
      <c r="K14" s="80"/>
      <c r="L14" s="165">
        <v>0</v>
      </c>
      <c r="M14" s="165">
        <v>0</v>
      </c>
      <c r="N14" s="80">
        <v>36924</v>
      </c>
    </row>
    <row r="15" spans="1:20" s="82" customFormat="1">
      <c r="A15" s="43">
        <v>55</v>
      </c>
      <c r="B15" s="43" t="s">
        <v>307</v>
      </c>
      <c r="C15" s="43" t="s">
        <v>77</v>
      </c>
      <c r="D15" s="43" t="s">
        <v>232</v>
      </c>
      <c r="E15" s="43" t="s">
        <v>111</v>
      </c>
      <c r="F15" s="187">
        <v>15000000</v>
      </c>
      <c r="G15" s="187">
        <v>0</v>
      </c>
      <c r="H15" s="80"/>
      <c r="I15" s="80"/>
      <c r="J15" s="77">
        <v>0</v>
      </c>
      <c r="K15" s="80"/>
      <c r="L15" s="165">
        <v>0</v>
      </c>
      <c r="M15" s="165">
        <v>0</v>
      </c>
      <c r="N15" s="80">
        <v>36923</v>
      </c>
    </row>
    <row r="16" spans="1:20" s="82" customFormat="1">
      <c r="A16" s="43">
        <v>3011</v>
      </c>
      <c r="B16" s="43" t="s">
        <v>307</v>
      </c>
      <c r="C16" s="43" t="s">
        <v>77</v>
      </c>
      <c r="D16" s="43" t="s">
        <v>248</v>
      </c>
      <c r="E16" s="43" t="s">
        <v>236</v>
      </c>
      <c r="F16" s="187">
        <v>15000000</v>
      </c>
      <c r="G16" s="187">
        <v>15000000</v>
      </c>
      <c r="H16" s="80">
        <v>36925</v>
      </c>
      <c r="I16" s="272">
        <f>SUM(H16+35)</f>
        <v>36960</v>
      </c>
      <c r="J16" s="77">
        <v>0</v>
      </c>
      <c r="K16" s="272">
        <f>SUM(H16+150)</f>
        <v>37075</v>
      </c>
      <c r="L16" s="165">
        <v>0</v>
      </c>
      <c r="M16" s="165">
        <f>SUM(G16-L16)</f>
        <v>15000000</v>
      </c>
      <c r="N16" s="80">
        <v>36949</v>
      </c>
    </row>
    <row r="17" spans="1:20" s="54" customFormat="1">
      <c r="A17" s="43">
        <v>69</v>
      </c>
      <c r="B17" s="43" t="s">
        <v>368</v>
      </c>
      <c r="C17" s="43" t="s">
        <v>15</v>
      </c>
      <c r="D17" s="43" t="s">
        <v>233</v>
      </c>
      <c r="E17" s="43" t="s">
        <v>111</v>
      </c>
      <c r="F17" s="187">
        <v>15000000</v>
      </c>
      <c r="G17" s="187">
        <v>0</v>
      </c>
      <c r="H17" s="80"/>
      <c r="I17" s="80"/>
      <c r="J17" s="112">
        <v>0</v>
      </c>
      <c r="K17" s="80"/>
      <c r="L17" s="165">
        <v>0</v>
      </c>
      <c r="M17" s="165">
        <v>0</v>
      </c>
      <c r="N17" s="80">
        <v>36958</v>
      </c>
    </row>
    <row r="18" spans="1:20" s="82" customFormat="1">
      <c r="A18" s="43">
        <v>71</v>
      </c>
      <c r="B18" s="43" t="s">
        <v>368</v>
      </c>
      <c r="C18" s="43" t="s">
        <v>77</v>
      </c>
      <c r="D18" s="43" t="s">
        <v>234</v>
      </c>
      <c r="E18" s="43" t="s">
        <v>111</v>
      </c>
      <c r="F18" s="187">
        <v>15000000</v>
      </c>
      <c r="G18" s="187">
        <v>0</v>
      </c>
      <c r="H18" s="80"/>
      <c r="I18" s="80"/>
      <c r="J18" s="112">
        <v>0</v>
      </c>
      <c r="K18" s="80"/>
      <c r="L18" s="165">
        <v>0</v>
      </c>
      <c r="M18" s="165">
        <v>0</v>
      </c>
      <c r="N18" s="80">
        <v>36958</v>
      </c>
    </row>
    <row r="19" spans="1:20" s="82" customFormat="1">
      <c r="A19" s="43">
        <v>81</v>
      </c>
      <c r="B19" s="43" t="s">
        <v>307</v>
      </c>
      <c r="C19" s="43" t="s">
        <v>1</v>
      </c>
      <c r="D19" s="43" t="s">
        <v>249</v>
      </c>
      <c r="E19" s="43" t="s">
        <v>118</v>
      </c>
      <c r="F19" s="187">
        <v>15000000</v>
      </c>
      <c r="G19" s="187">
        <v>0</v>
      </c>
      <c r="H19" s="80"/>
      <c r="I19" s="80"/>
      <c r="J19" s="112">
        <v>0</v>
      </c>
      <c r="K19" s="80"/>
      <c r="L19" s="165">
        <v>0</v>
      </c>
      <c r="M19" s="165">
        <v>0</v>
      </c>
      <c r="N19" s="80">
        <v>36953</v>
      </c>
    </row>
    <row r="20" spans="1:20" s="54" customFormat="1">
      <c r="A20" s="43">
        <v>83</v>
      </c>
      <c r="B20" s="43" t="s">
        <v>368</v>
      </c>
      <c r="C20" s="43" t="s">
        <v>77</v>
      </c>
      <c r="D20" s="43" t="s">
        <v>235</v>
      </c>
      <c r="E20" s="43" t="s">
        <v>236</v>
      </c>
      <c r="F20" s="187">
        <v>15000000</v>
      </c>
      <c r="G20" s="187">
        <v>0</v>
      </c>
      <c r="H20" s="80"/>
      <c r="I20" s="80"/>
      <c r="J20" s="112">
        <v>0</v>
      </c>
      <c r="K20" s="80"/>
      <c r="L20" s="165">
        <v>0</v>
      </c>
      <c r="M20" s="165">
        <v>0</v>
      </c>
      <c r="N20" s="80">
        <v>36958</v>
      </c>
    </row>
    <row r="21" spans="1:20" s="82" customFormat="1">
      <c r="A21" s="43">
        <v>3018</v>
      </c>
      <c r="B21" s="43" t="s">
        <v>307</v>
      </c>
      <c r="C21" s="43" t="s">
        <v>15</v>
      </c>
      <c r="D21" s="43" t="s">
        <v>237</v>
      </c>
      <c r="E21" s="43" t="s">
        <v>111</v>
      </c>
      <c r="F21" s="187">
        <v>15000000</v>
      </c>
      <c r="G21" s="187">
        <v>15000000</v>
      </c>
      <c r="H21" s="80">
        <v>36966</v>
      </c>
      <c r="I21" s="272">
        <f>SUM(H21+35)</f>
        <v>37001</v>
      </c>
      <c r="J21" s="77">
        <v>15000000</v>
      </c>
      <c r="K21" s="272">
        <f>SUM(H21+150)</f>
        <v>37116</v>
      </c>
      <c r="L21" s="165">
        <v>0</v>
      </c>
      <c r="M21" s="165">
        <f>SUM(G21-L21)</f>
        <v>15000000</v>
      </c>
      <c r="N21" s="80">
        <v>37107</v>
      </c>
    </row>
    <row r="22" spans="1:20" s="82" customFormat="1">
      <c r="A22" s="43">
        <v>101</v>
      </c>
      <c r="B22" s="43" t="s">
        <v>368</v>
      </c>
      <c r="C22" s="43" t="s">
        <v>15</v>
      </c>
      <c r="D22" s="43" t="s">
        <v>238</v>
      </c>
      <c r="E22" s="43" t="s">
        <v>111</v>
      </c>
      <c r="F22" s="187">
        <v>13500000</v>
      </c>
      <c r="G22" s="187">
        <v>0</v>
      </c>
      <c r="H22" s="80"/>
      <c r="I22" s="80"/>
      <c r="J22" s="112">
        <v>0</v>
      </c>
      <c r="K22" s="80"/>
      <c r="L22" s="165">
        <v>0</v>
      </c>
      <c r="M22" s="165">
        <v>0</v>
      </c>
      <c r="N22" s="80">
        <v>36967</v>
      </c>
    </row>
    <row r="23" spans="1:20" s="82" customFormat="1">
      <c r="A23" s="43">
        <v>104</v>
      </c>
      <c r="B23" s="43" t="s">
        <v>307</v>
      </c>
      <c r="C23" s="43" t="s">
        <v>15</v>
      </c>
      <c r="D23" s="43" t="s">
        <v>239</v>
      </c>
      <c r="E23" s="43" t="s">
        <v>111</v>
      </c>
      <c r="F23" s="187">
        <v>15000000</v>
      </c>
      <c r="G23" s="187">
        <v>0</v>
      </c>
      <c r="H23" s="80"/>
      <c r="I23" s="80"/>
      <c r="J23" s="112">
        <v>0</v>
      </c>
      <c r="K23" s="80"/>
      <c r="L23" s="165">
        <v>0</v>
      </c>
      <c r="M23" s="165">
        <v>0</v>
      </c>
      <c r="N23" s="80">
        <v>36972</v>
      </c>
    </row>
    <row r="24" spans="1:20" s="54" customFormat="1">
      <c r="A24" s="43">
        <v>106</v>
      </c>
      <c r="B24" s="43" t="s">
        <v>307</v>
      </c>
      <c r="C24" s="43" t="s">
        <v>77</v>
      </c>
      <c r="D24" s="43" t="s">
        <v>240</v>
      </c>
      <c r="E24" s="43" t="s">
        <v>61</v>
      </c>
      <c r="F24" s="187">
        <v>15000000</v>
      </c>
      <c r="G24" s="187">
        <v>0</v>
      </c>
      <c r="H24" s="80"/>
      <c r="I24" s="80"/>
      <c r="J24" s="112">
        <v>0</v>
      </c>
      <c r="K24" s="80"/>
      <c r="L24" s="165">
        <v>0</v>
      </c>
      <c r="M24" s="165">
        <v>0</v>
      </c>
      <c r="N24" s="80">
        <v>36973</v>
      </c>
    </row>
    <row r="25" spans="1:20" s="82" customFormat="1">
      <c r="A25" s="43">
        <v>127</v>
      </c>
      <c r="B25" s="43" t="s">
        <v>307</v>
      </c>
      <c r="C25" s="43" t="s">
        <v>1</v>
      </c>
      <c r="D25" s="43" t="s">
        <v>250</v>
      </c>
      <c r="E25" s="43" t="s">
        <v>443</v>
      </c>
      <c r="F25" s="187">
        <v>15000000</v>
      </c>
      <c r="G25" s="187">
        <v>0</v>
      </c>
      <c r="H25" s="80"/>
      <c r="I25" s="80"/>
      <c r="J25" s="112">
        <v>0</v>
      </c>
      <c r="K25" s="80"/>
      <c r="L25" s="165">
        <v>0</v>
      </c>
      <c r="M25" s="165">
        <v>0</v>
      </c>
      <c r="N25" s="80">
        <v>36974</v>
      </c>
    </row>
    <row r="26" spans="1:20" s="82" customFormat="1">
      <c r="A26" s="43">
        <v>3023</v>
      </c>
      <c r="B26" s="43" t="s">
        <v>307</v>
      </c>
      <c r="C26" s="43" t="s">
        <v>1</v>
      </c>
      <c r="D26" s="43" t="s">
        <v>241</v>
      </c>
      <c r="E26" s="43" t="s">
        <v>116</v>
      </c>
      <c r="F26" s="187">
        <v>15000000</v>
      </c>
      <c r="G26" s="187">
        <v>15000000</v>
      </c>
      <c r="H26" s="80">
        <v>36984</v>
      </c>
      <c r="I26" s="272">
        <f>SUM(H26+35)</f>
        <v>37019</v>
      </c>
      <c r="J26" s="77">
        <v>15000000</v>
      </c>
      <c r="K26" s="272">
        <f>SUM(H26+150)</f>
        <v>37134</v>
      </c>
      <c r="L26" s="165">
        <v>0</v>
      </c>
      <c r="M26" s="165">
        <f>SUM(G26-L26)</f>
        <v>15000000</v>
      </c>
      <c r="N26" s="80">
        <v>37132</v>
      </c>
    </row>
    <row r="27" spans="1:20" s="82" customFormat="1">
      <c r="A27" s="43">
        <v>133</v>
      </c>
      <c r="B27" s="43" t="s">
        <v>307</v>
      </c>
      <c r="C27" s="43" t="s">
        <v>77</v>
      </c>
      <c r="D27" s="43" t="s">
        <v>242</v>
      </c>
      <c r="E27" s="43" t="s">
        <v>114</v>
      </c>
      <c r="F27" s="187">
        <v>15000000</v>
      </c>
      <c r="G27" s="187">
        <v>0</v>
      </c>
      <c r="H27" s="80"/>
      <c r="I27" s="80"/>
      <c r="J27" s="112">
        <v>0</v>
      </c>
      <c r="K27" s="80"/>
      <c r="L27" s="165">
        <v>0</v>
      </c>
      <c r="M27" s="165">
        <v>0</v>
      </c>
      <c r="N27" s="80">
        <v>36984</v>
      </c>
    </row>
    <row r="28" spans="1:20" s="82" customFormat="1">
      <c r="A28" s="43">
        <v>3030</v>
      </c>
      <c r="B28" s="43" t="s">
        <v>307</v>
      </c>
      <c r="C28" s="43" t="s">
        <v>15</v>
      </c>
      <c r="D28" s="43" t="s">
        <v>243</v>
      </c>
      <c r="E28" s="43" t="s">
        <v>111</v>
      </c>
      <c r="F28" s="187">
        <v>15000000</v>
      </c>
      <c r="G28" s="187">
        <v>15000000</v>
      </c>
      <c r="H28" s="80">
        <v>36994</v>
      </c>
      <c r="I28" s="272">
        <f>SUM(H28+35)</f>
        <v>37029</v>
      </c>
      <c r="J28" s="77">
        <v>15000000</v>
      </c>
      <c r="K28" s="272">
        <f>SUM(H28+150)</f>
        <v>37144</v>
      </c>
      <c r="L28" s="165">
        <v>0</v>
      </c>
      <c r="M28" s="165">
        <f>SUM(G28-L28)</f>
        <v>15000000</v>
      </c>
      <c r="N28" s="80">
        <v>37132</v>
      </c>
    </row>
    <row r="29" spans="1:20" s="55" customFormat="1">
      <c r="A29" s="43">
        <v>139</v>
      </c>
      <c r="B29" s="43" t="s">
        <v>307</v>
      </c>
      <c r="C29" s="43" t="s">
        <v>15</v>
      </c>
      <c r="D29" s="43" t="s">
        <v>244</v>
      </c>
      <c r="E29" s="43" t="s">
        <v>111</v>
      </c>
      <c r="F29" s="187">
        <v>15000000</v>
      </c>
      <c r="G29" s="187">
        <v>0</v>
      </c>
      <c r="H29" s="80"/>
      <c r="I29" s="80"/>
      <c r="J29" s="112">
        <v>0</v>
      </c>
      <c r="K29" s="80"/>
      <c r="L29" s="165">
        <v>0</v>
      </c>
      <c r="M29" s="165">
        <v>0</v>
      </c>
      <c r="N29" s="80">
        <v>36994</v>
      </c>
    </row>
    <row r="30" spans="1:20">
      <c r="A30" s="43">
        <v>3031</v>
      </c>
      <c r="B30" s="43" t="s">
        <v>307</v>
      </c>
      <c r="C30" s="43" t="s">
        <v>77</v>
      </c>
      <c r="D30" s="43" t="s">
        <v>134</v>
      </c>
      <c r="E30" s="43" t="s">
        <v>111</v>
      </c>
      <c r="F30" s="187">
        <v>15000000</v>
      </c>
      <c r="G30" s="187">
        <v>15000000</v>
      </c>
      <c r="H30" s="80">
        <v>36995</v>
      </c>
      <c r="I30" s="272">
        <f>SUM(H30+35)</f>
        <v>37030</v>
      </c>
      <c r="J30" s="77">
        <v>0</v>
      </c>
      <c r="K30" s="272">
        <f>SUM(H30+150)</f>
        <v>37145</v>
      </c>
      <c r="L30" s="165">
        <v>0</v>
      </c>
      <c r="M30" s="165">
        <f>SUM(G30-L30)</f>
        <v>15000000</v>
      </c>
      <c r="N30" s="60">
        <v>37030</v>
      </c>
      <c r="O30" s="43"/>
      <c r="P30" s="43"/>
      <c r="Q30" s="43"/>
      <c r="R30" s="43"/>
      <c r="S30" s="43"/>
      <c r="T30" s="43"/>
    </row>
    <row r="31" spans="1:20">
      <c r="A31" s="43">
        <v>2</v>
      </c>
      <c r="B31" s="43" t="s">
        <v>368</v>
      </c>
      <c r="C31" s="43" t="s">
        <v>229</v>
      </c>
      <c r="D31" s="43" t="s">
        <v>251</v>
      </c>
      <c r="E31" s="43" t="s">
        <v>127</v>
      </c>
      <c r="F31" s="187">
        <v>15000000</v>
      </c>
      <c r="G31" s="187">
        <v>0</v>
      </c>
      <c r="H31" s="49"/>
      <c r="I31" s="49"/>
      <c r="J31" s="112">
        <v>0</v>
      </c>
      <c r="K31" s="80"/>
      <c r="L31" s="165">
        <v>0</v>
      </c>
      <c r="M31" s="165">
        <v>0</v>
      </c>
      <c r="N31" s="60">
        <v>36999</v>
      </c>
      <c r="O31" s="43"/>
      <c r="P31" s="43"/>
      <c r="Q31" s="43"/>
      <c r="R31" s="43"/>
      <c r="S31" s="43"/>
      <c r="T31" s="43"/>
    </row>
    <row r="32" spans="1:20">
      <c r="A32" s="43">
        <v>32</v>
      </c>
      <c r="B32" s="43" t="s">
        <v>307</v>
      </c>
      <c r="C32" s="43" t="s">
        <v>77</v>
      </c>
      <c r="D32" s="43" t="s">
        <v>252</v>
      </c>
      <c r="E32" s="43" t="s">
        <v>61</v>
      </c>
      <c r="F32" s="187">
        <v>15000000</v>
      </c>
      <c r="G32" s="187">
        <v>0</v>
      </c>
      <c r="H32" s="49"/>
      <c r="I32" s="49"/>
      <c r="J32" s="112">
        <v>0</v>
      </c>
      <c r="K32" s="80"/>
      <c r="L32" s="165">
        <v>0</v>
      </c>
      <c r="M32" s="165">
        <v>0</v>
      </c>
      <c r="N32" s="60">
        <v>36995</v>
      </c>
      <c r="O32" s="43"/>
      <c r="P32" s="43"/>
      <c r="Q32" s="43"/>
      <c r="R32" s="43"/>
      <c r="S32" s="43"/>
      <c r="T32" s="43"/>
    </row>
    <row r="33" spans="1:20">
      <c r="A33" s="43">
        <v>3032</v>
      </c>
      <c r="B33" s="43" t="s">
        <v>307</v>
      </c>
      <c r="C33" s="43" t="s">
        <v>1</v>
      </c>
      <c r="D33" s="43" t="s">
        <v>253</v>
      </c>
      <c r="E33" s="43" t="s">
        <v>113</v>
      </c>
      <c r="F33" s="187">
        <v>6000000</v>
      </c>
      <c r="G33" s="187">
        <v>6000000</v>
      </c>
      <c r="H33" s="80">
        <v>37000</v>
      </c>
      <c r="I33" s="272">
        <f>SUM(H33+35)</f>
        <v>37035</v>
      </c>
      <c r="J33" s="77">
        <v>0</v>
      </c>
      <c r="K33" s="272">
        <f>SUM(H33+150)</f>
        <v>37150</v>
      </c>
      <c r="L33" s="165">
        <v>0</v>
      </c>
      <c r="M33" s="165">
        <f>SUM(G33-L33)</f>
        <v>6000000</v>
      </c>
      <c r="N33" s="60">
        <v>37004</v>
      </c>
      <c r="O33" s="43"/>
      <c r="P33" s="43"/>
      <c r="Q33" s="43"/>
      <c r="R33" s="43"/>
      <c r="S33" s="43"/>
      <c r="T33" s="43"/>
    </row>
    <row r="34" spans="1:20">
      <c r="A34" s="43">
        <v>3033</v>
      </c>
      <c r="B34" s="43" t="s">
        <v>307</v>
      </c>
      <c r="C34" s="43" t="s">
        <v>15</v>
      </c>
      <c r="D34" s="43" t="s">
        <v>254</v>
      </c>
      <c r="E34" s="43" t="s">
        <v>111</v>
      </c>
      <c r="F34" s="187">
        <v>15000000</v>
      </c>
      <c r="G34" s="187">
        <v>15000000</v>
      </c>
      <c r="H34" s="80">
        <v>37006</v>
      </c>
      <c r="I34" s="272">
        <f>SUM(H34+35)</f>
        <v>37041</v>
      </c>
      <c r="J34" s="77">
        <v>15000000</v>
      </c>
      <c r="K34" s="272">
        <f>SUM(H34+150)</f>
        <v>37156</v>
      </c>
      <c r="L34" s="165">
        <v>0</v>
      </c>
      <c r="M34" s="165">
        <f>SUM(G34-L34)</f>
        <v>15000000</v>
      </c>
      <c r="N34" s="60">
        <v>37049</v>
      </c>
    </row>
    <row r="35" spans="1:20">
      <c r="A35" s="43">
        <v>76</v>
      </c>
      <c r="B35" s="43" t="s">
        <v>307</v>
      </c>
      <c r="C35" s="43" t="s">
        <v>15</v>
      </c>
      <c r="D35" s="43" t="s">
        <v>255</v>
      </c>
      <c r="E35" s="43" t="s">
        <v>111</v>
      </c>
      <c r="F35" s="187">
        <v>15000000</v>
      </c>
      <c r="G35" s="187">
        <v>0</v>
      </c>
      <c r="H35" s="60"/>
      <c r="I35" s="60"/>
      <c r="J35" s="112">
        <v>0</v>
      </c>
      <c r="K35" s="80"/>
      <c r="L35" s="165">
        <v>0</v>
      </c>
      <c r="M35" s="165">
        <v>0</v>
      </c>
      <c r="N35" s="60">
        <v>37029</v>
      </c>
    </row>
    <row r="36" spans="1:20">
      <c r="A36" s="43">
        <v>85</v>
      </c>
      <c r="B36" s="43" t="s">
        <v>307</v>
      </c>
      <c r="C36" s="43" t="s">
        <v>1</v>
      </c>
      <c r="D36" s="43" t="s">
        <v>256</v>
      </c>
      <c r="E36" s="43" t="s">
        <v>116</v>
      </c>
      <c r="F36" s="187">
        <v>15000000</v>
      </c>
      <c r="G36" s="187">
        <v>0</v>
      </c>
      <c r="H36" s="60"/>
      <c r="I36" s="60"/>
      <c r="J36" s="112">
        <v>0</v>
      </c>
      <c r="K36" s="80"/>
      <c r="L36" s="165">
        <v>0</v>
      </c>
      <c r="M36" s="165">
        <v>0</v>
      </c>
      <c r="N36" s="60">
        <v>37033</v>
      </c>
    </row>
    <row r="37" spans="1:20">
      <c r="A37" s="43">
        <v>105</v>
      </c>
      <c r="B37" s="43" t="s">
        <v>307</v>
      </c>
      <c r="C37" s="43" t="s">
        <v>15</v>
      </c>
      <c r="D37" s="43" t="s">
        <v>257</v>
      </c>
      <c r="E37" s="43" t="s">
        <v>111</v>
      </c>
      <c r="F37" s="187">
        <v>15000000</v>
      </c>
      <c r="G37" s="187">
        <v>0</v>
      </c>
      <c r="H37" s="60"/>
      <c r="I37" s="60"/>
      <c r="J37" s="112">
        <v>0</v>
      </c>
      <c r="K37" s="80"/>
      <c r="L37" s="165">
        <v>0</v>
      </c>
      <c r="M37" s="165">
        <v>0</v>
      </c>
      <c r="N37" s="60">
        <v>37035</v>
      </c>
    </row>
    <row r="38" spans="1:20">
      <c r="A38" s="43">
        <v>111</v>
      </c>
      <c r="B38" s="43" t="s">
        <v>307</v>
      </c>
      <c r="C38" s="43" t="s">
        <v>229</v>
      </c>
      <c r="D38" s="43" t="s">
        <v>258</v>
      </c>
      <c r="E38" s="43" t="s">
        <v>127</v>
      </c>
      <c r="F38" s="187">
        <v>15000000</v>
      </c>
      <c r="G38" s="187">
        <v>0</v>
      </c>
      <c r="H38" s="60"/>
      <c r="I38" s="60"/>
      <c r="J38" s="112">
        <v>0</v>
      </c>
      <c r="K38" s="80"/>
      <c r="L38" s="165">
        <v>0</v>
      </c>
      <c r="M38" s="165">
        <v>0</v>
      </c>
      <c r="N38" s="60">
        <v>37035</v>
      </c>
    </row>
    <row r="39" spans="1:20">
      <c r="A39" s="43">
        <v>3042</v>
      </c>
      <c r="B39" s="43" t="s">
        <v>307</v>
      </c>
      <c r="C39" s="43" t="s">
        <v>15</v>
      </c>
      <c r="D39" s="43" t="s">
        <v>259</v>
      </c>
      <c r="E39" s="43" t="s">
        <v>111</v>
      </c>
      <c r="F39" s="187">
        <v>14000000</v>
      </c>
      <c r="G39" s="187">
        <v>14000000</v>
      </c>
      <c r="H39" s="60">
        <v>37041</v>
      </c>
      <c r="I39" s="272">
        <f>SUM(H39+35)</f>
        <v>37076</v>
      </c>
      <c r="J39" s="77">
        <v>14000000</v>
      </c>
      <c r="K39" s="272">
        <f>SUM(H39+150)</f>
        <v>37191</v>
      </c>
      <c r="L39" s="165">
        <v>0</v>
      </c>
      <c r="M39" s="165">
        <f>SUM(G39-L39)</f>
        <v>14000000</v>
      </c>
      <c r="N39" s="60">
        <v>37154</v>
      </c>
    </row>
    <row r="40" spans="1:20">
      <c r="A40" s="43">
        <v>119</v>
      </c>
      <c r="B40" s="43" t="s">
        <v>307</v>
      </c>
      <c r="C40" s="43" t="s">
        <v>229</v>
      </c>
      <c r="D40" s="43" t="s">
        <v>260</v>
      </c>
      <c r="E40" s="43" t="s">
        <v>127</v>
      </c>
      <c r="F40" s="187">
        <v>15000000</v>
      </c>
      <c r="G40" s="187">
        <v>0</v>
      </c>
      <c r="H40" s="60"/>
      <c r="I40" s="60"/>
      <c r="J40" s="112">
        <v>0</v>
      </c>
      <c r="K40" s="80"/>
      <c r="L40" s="165">
        <v>0</v>
      </c>
      <c r="M40" s="165">
        <v>0</v>
      </c>
      <c r="N40" s="60">
        <v>37041</v>
      </c>
    </row>
    <row r="41" spans="1:20">
      <c r="A41" s="43">
        <v>126</v>
      </c>
      <c r="B41" s="43" t="s">
        <v>307</v>
      </c>
      <c r="C41" s="43" t="s">
        <v>77</v>
      </c>
      <c r="D41" s="43" t="s">
        <v>261</v>
      </c>
      <c r="E41" s="43" t="s">
        <v>236</v>
      </c>
      <c r="F41" s="187">
        <v>15000000</v>
      </c>
      <c r="G41" s="187">
        <v>0</v>
      </c>
      <c r="H41" s="60"/>
      <c r="I41" s="60"/>
      <c r="J41" s="112">
        <v>0</v>
      </c>
      <c r="K41" s="80"/>
      <c r="L41" s="165">
        <v>0</v>
      </c>
      <c r="M41" s="165">
        <v>0</v>
      </c>
      <c r="N41" s="60">
        <v>37041</v>
      </c>
    </row>
    <row r="42" spans="1:20">
      <c r="A42" s="43"/>
      <c r="B42" s="43"/>
      <c r="C42" s="43"/>
      <c r="D42" s="43"/>
      <c r="E42" s="43"/>
      <c r="F42" s="187"/>
      <c r="G42" s="281"/>
      <c r="H42" s="108"/>
      <c r="I42" s="108"/>
      <c r="J42" s="108"/>
      <c r="K42" s="108"/>
      <c r="L42" s="108"/>
      <c r="M42" s="108"/>
      <c r="N42" s="108"/>
    </row>
    <row r="43" spans="1:20">
      <c r="A43" s="43"/>
      <c r="C43" s="47" t="s">
        <v>36</v>
      </c>
      <c r="D43" s="47"/>
      <c r="E43" s="47"/>
      <c r="F43" s="167">
        <f>SUM(F8:F42)</f>
        <v>483500000</v>
      </c>
      <c r="G43" s="167">
        <f>SUM(G8:G42)</f>
        <v>155000000</v>
      </c>
      <c r="H43" s="60"/>
      <c r="I43" s="60"/>
      <c r="J43" s="167">
        <f>SUM(J8:J42)</f>
        <v>104000000</v>
      </c>
      <c r="K43" s="60"/>
      <c r="L43" s="167">
        <f>SUM(L8:L42)</f>
        <v>0</v>
      </c>
      <c r="M43" s="167">
        <f>SUM(M8:M42)</f>
        <v>155000000</v>
      </c>
    </row>
    <row r="44" spans="1:20">
      <c r="A44" s="86"/>
      <c r="C44" s="47"/>
      <c r="D44" s="47"/>
      <c r="E44" s="47"/>
      <c r="F44" s="159"/>
      <c r="G44" s="108"/>
      <c r="H44" s="108"/>
      <c r="I44" s="108"/>
      <c r="J44" s="108"/>
      <c r="K44" s="108"/>
      <c r="L44" s="108"/>
      <c r="M44" s="108"/>
      <c r="N44" s="108"/>
    </row>
    <row r="45" spans="1:20">
      <c r="A45" s="86"/>
      <c r="B45" s="47"/>
      <c r="C45" s="47" t="s">
        <v>76</v>
      </c>
      <c r="D45" s="47"/>
      <c r="E45" s="47"/>
      <c r="F45" s="159">
        <f>SUM(F43-G43)</f>
        <v>328500000</v>
      </c>
    </row>
    <row r="46" spans="1:20">
      <c r="A46" s="43"/>
      <c r="B46" s="47"/>
      <c r="C46" s="47"/>
      <c r="D46" s="47"/>
      <c r="E46" s="47"/>
    </row>
    <row r="47" spans="1:20" ht="12.75" thickBot="1">
      <c r="A47" s="43"/>
      <c r="B47" s="47"/>
      <c r="C47" s="47" t="s">
        <v>16</v>
      </c>
      <c r="D47" s="47"/>
      <c r="E47" s="47"/>
      <c r="F47" s="168">
        <f>+C1-G43+M43</f>
        <v>78855186</v>
      </c>
    </row>
    <row r="48" spans="1:20">
      <c r="A48" s="46"/>
      <c r="B48" s="86"/>
      <c r="D48" s="72"/>
      <c r="E48" s="69"/>
      <c r="F48" s="77"/>
    </row>
    <row r="49" spans="1:15">
      <c r="A49" s="46"/>
      <c r="B49" s="223"/>
      <c r="D49" s="111"/>
      <c r="E49" s="112"/>
      <c r="F49" s="104"/>
    </row>
    <row r="52" spans="1:15">
      <c r="A52" s="46"/>
      <c r="B52" s="43"/>
      <c r="C52" s="43"/>
      <c r="E52" s="47"/>
      <c r="F52" s="277"/>
    </row>
    <row r="53" spans="1:15">
      <c r="A53" s="46" t="s">
        <v>430</v>
      </c>
      <c r="B53" s="43"/>
      <c r="C53" s="43"/>
      <c r="D53" s="43"/>
      <c r="E53" s="43"/>
      <c r="F53" s="187"/>
    </row>
    <row r="54" spans="1:15">
      <c r="A54" s="43">
        <v>2782</v>
      </c>
      <c r="B54" s="62" t="s">
        <v>395</v>
      </c>
      <c r="C54" s="43" t="s">
        <v>77</v>
      </c>
      <c r="D54" s="43" t="s">
        <v>402</v>
      </c>
      <c r="E54" s="43" t="s">
        <v>111</v>
      </c>
      <c r="F54" s="187">
        <v>13500000</v>
      </c>
      <c r="G54" s="159">
        <v>13500000</v>
      </c>
      <c r="H54" s="222">
        <v>36441</v>
      </c>
      <c r="I54" s="60">
        <v>36476</v>
      </c>
      <c r="J54" s="159">
        <v>13500000</v>
      </c>
      <c r="K54" s="60">
        <v>36561</v>
      </c>
      <c r="L54" s="159">
        <v>13350000</v>
      </c>
      <c r="M54" s="163">
        <v>150000</v>
      </c>
      <c r="N54" s="60">
        <v>36561</v>
      </c>
      <c r="O54" s="62">
        <v>2952</v>
      </c>
    </row>
    <row r="55" spans="1:15">
      <c r="A55" s="43"/>
      <c r="B55" s="43"/>
      <c r="C55" s="43"/>
      <c r="D55" s="43"/>
      <c r="E55" s="43"/>
      <c r="F55" s="187"/>
    </row>
    <row r="56" spans="1:15">
      <c r="A56" s="43"/>
      <c r="B56" s="43"/>
      <c r="C56" s="43"/>
      <c r="D56" s="43"/>
      <c r="E56" s="43"/>
      <c r="F56" s="187"/>
    </row>
    <row r="57" spans="1:15">
      <c r="A57" s="43"/>
      <c r="B57" s="43"/>
      <c r="C57" s="43"/>
      <c r="D57" s="43"/>
      <c r="E57" s="43"/>
      <c r="F57" s="187"/>
    </row>
    <row r="58" spans="1:15">
      <c r="A58" s="46"/>
      <c r="B58" s="46"/>
      <c r="C58" s="46"/>
      <c r="D58" s="46"/>
      <c r="E58" s="46"/>
      <c r="F58" s="185"/>
    </row>
    <row r="59" spans="1:15">
      <c r="A59" s="43"/>
      <c r="B59" s="43"/>
      <c r="C59" s="43"/>
      <c r="D59" s="43"/>
      <c r="E59" s="43"/>
      <c r="F59" s="187"/>
    </row>
    <row r="60" spans="1:15">
      <c r="A60" s="43"/>
      <c r="B60" s="43"/>
      <c r="C60" s="43"/>
      <c r="D60" s="43"/>
      <c r="E60" s="43"/>
      <c r="F60" s="187"/>
    </row>
    <row r="61" spans="1:15">
      <c r="A61" s="43"/>
      <c r="B61" s="43"/>
      <c r="C61" s="43"/>
      <c r="D61" s="43"/>
      <c r="E61" s="43"/>
      <c r="F61" s="187"/>
    </row>
    <row r="62" spans="1:15">
      <c r="A62" s="55"/>
      <c r="B62" s="54"/>
      <c r="C62" s="55"/>
      <c r="D62" s="55"/>
      <c r="E62" s="55"/>
      <c r="F62" s="188"/>
    </row>
    <row r="65" spans="1:6">
      <c r="A65" s="47"/>
    </row>
    <row r="66" spans="1:6">
      <c r="A66" s="47"/>
    </row>
    <row r="67" spans="1:6">
      <c r="A67" s="47"/>
    </row>
    <row r="75" spans="1:6">
      <c r="A75" s="108"/>
      <c r="B75" s="108"/>
      <c r="C75" s="108"/>
      <c r="D75" s="108"/>
      <c r="E75" s="108"/>
      <c r="F75" s="108"/>
    </row>
    <row r="78" spans="1:6">
      <c r="A78" s="108"/>
      <c r="B78" s="108"/>
      <c r="C78" s="108"/>
      <c r="D78" s="108"/>
      <c r="E78" s="108"/>
      <c r="F78" s="108"/>
    </row>
    <row r="80" spans="1:6">
      <c r="A80" s="108"/>
      <c r="B80" s="108"/>
      <c r="C80" s="108"/>
      <c r="D80" s="108"/>
      <c r="E80" s="108"/>
      <c r="F80" s="108"/>
    </row>
  </sheetData>
  <phoneticPr fontId="0" type="noConversion"/>
  <pageMargins left="0.75" right="0.75" top="1" bottom="1" header="0.5" footer="0.5"/>
  <pageSetup fitToHeight="2" orientation="landscape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workbookViewId="0">
      <selection activeCell="L10" sqref="L10"/>
    </sheetView>
  </sheetViews>
  <sheetFormatPr defaultColWidth="10.85546875" defaultRowHeight="12"/>
  <cols>
    <col min="1" max="1" width="8.28515625" style="62" customWidth="1"/>
    <col min="2" max="2" width="7.85546875" style="62" bestFit="1" customWidth="1"/>
    <col min="3" max="3" width="15.85546875" style="62" bestFit="1" customWidth="1"/>
    <col min="4" max="4" width="17.42578125" style="62" customWidth="1"/>
    <col min="5" max="5" width="15.85546875" style="62" bestFit="1" customWidth="1"/>
    <col min="6" max="6" width="12.85546875" style="61" bestFit="1" customWidth="1"/>
    <col min="7" max="7" width="12" style="93" bestFit="1" customWidth="1"/>
    <col min="8" max="8" width="13.7109375" style="62" customWidth="1"/>
    <col min="9" max="9" width="9.5703125" style="62" bestFit="1" customWidth="1"/>
    <col min="10" max="10" width="12" style="93" bestFit="1" customWidth="1"/>
    <col min="11" max="11" width="9.5703125" style="62" bestFit="1" customWidth="1"/>
    <col min="12" max="12" width="12.42578125" style="61" bestFit="1" customWidth="1"/>
    <col min="13" max="13" width="10.7109375" style="61" bestFit="1" customWidth="1"/>
    <col min="14" max="16384" width="10.85546875" style="62"/>
  </cols>
  <sheetData>
    <row r="1" spans="1:20" s="74" customFormat="1">
      <c r="A1" s="66" t="s">
        <v>19</v>
      </c>
      <c r="B1" s="243"/>
      <c r="C1" s="238">
        <v>21881637</v>
      </c>
      <c r="D1" s="278"/>
      <c r="E1" s="68"/>
      <c r="F1" s="109"/>
      <c r="G1" s="110"/>
      <c r="K1" s="72"/>
      <c r="L1" s="109"/>
      <c r="M1" s="109"/>
      <c r="N1" s="73">
        <f>'SC1 MRB'!P1</f>
        <v>36893</v>
      </c>
      <c r="O1" s="54"/>
      <c r="P1" s="54"/>
      <c r="Q1" s="54"/>
      <c r="R1" s="54"/>
      <c r="S1" s="54"/>
      <c r="T1" s="54"/>
    </row>
    <row r="2" spans="1:20" s="82" customFormat="1">
      <c r="A2" s="75" t="s">
        <v>18</v>
      </c>
      <c r="B2" s="54"/>
      <c r="C2" s="96"/>
      <c r="D2" s="280"/>
      <c r="E2" s="96"/>
      <c r="G2" s="112"/>
      <c r="K2" s="80"/>
      <c r="L2" s="113"/>
      <c r="M2" s="113"/>
      <c r="N2" s="81"/>
      <c r="O2" s="54"/>
      <c r="P2" s="54"/>
      <c r="Q2" s="54"/>
      <c r="R2" s="54"/>
      <c r="S2" s="54"/>
      <c r="T2" s="54"/>
    </row>
    <row r="3" spans="1:20" s="82" customFormat="1">
      <c r="A3" s="75"/>
      <c r="B3" s="54"/>
      <c r="C3" s="96"/>
      <c r="D3" s="111"/>
      <c r="E3" s="96"/>
      <c r="G3" s="112"/>
      <c r="K3" s="80"/>
      <c r="L3" s="113"/>
      <c r="M3" s="113"/>
      <c r="N3" s="81"/>
      <c r="O3" s="54"/>
      <c r="P3" s="54"/>
      <c r="Q3" s="54"/>
      <c r="R3" s="54"/>
      <c r="S3" s="54"/>
      <c r="T3" s="54"/>
    </row>
    <row r="4" spans="1:20" s="82" customFormat="1">
      <c r="A4" s="75"/>
      <c r="B4" s="54"/>
      <c r="C4" s="76"/>
      <c r="D4" s="76"/>
      <c r="E4" s="76"/>
      <c r="F4" s="111"/>
      <c r="G4" s="218"/>
      <c r="K4" s="80"/>
      <c r="L4" s="113"/>
      <c r="M4" s="113"/>
      <c r="N4" s="81"/>
      <c r="O4" s="54"/>
      <c r="P4" s="54"/>
      <c r="Q4" s="54"/>
      <c r="R4" s="54"/>
      <c r="S4" s="54"/>
      <c r="T4" s="54"/>
    </row>
    <row r="5" spans="1:20">
      <c r="A5" s="83" t="s">
        <v>54</v>
      </c>
      <c r="B5" s="82"/>
      <c r="C5" s="54"/>
      <c r="D5" s="54"/>
      <c r="E5" s="54"/>
      <c r="F5" s="111"/>
      <c r="G5" s="112"/>
      <c r="H5" s="80"/>
      <c r="K5" s="80"/>
      <c r="L5" s="111"/>
      <c r="M5" s="221">
        <v>2004</v>
      </c>
      <c r="N5" s="81" t="s">
        <v>41</v>
      </c>
      <c r="O5" s="54"/>
      <c r="P5" s="54"/>
      <c r="Q5" s="54"/>
      <c r="R5" s="54"/>
      <c r="S5" s="54"/>
      <c r="T5" s="54"/>
    </row>
    <row r="6" spans="1:20" s="47" customFormat="1">
      <c r="A6" s="83" t="s">
        <v>82</v>
      </c>
      <c r="B6" s="54" t="s">
        <v>66</v>
      </c>
      <c r="C6" s="54" t="s">
        <v>52</v>
      </c>
      <c r="D6" s="76" t="s">
        <v>83</v>
      </c>
      <c r="E6" s="54" t="s">
        <v>79</v>
      </c>
      <c r="F6" s="113" t="s">
        <v>42</v>
      </c>
      <c r="G6" s="114" t="s">
        <v>13</v>
      </c>
      <c r="H6" s="53" t="s">
        <v>26</v>
      </c>
      <c r="I6" s="53" t="s">
        <v>56</v>
      </c>
      <c r="J6" s="114" t="s">
        <v>7</v>
      </c>
      <c r="K6" s="53" t="s">
        <v>95</v>
      </c>
      <c r="L6" s="113" t="s">
        <v>47</v>
      </c>
      <c r="M6" s="113" t="s">
        <v>78</v>
      </c>
      <c r="N6" s="81" t="s">
        <v>8</v>
      </c>
      <c r="O6" s="54"/>
      <c r="P6" s="54"/>
      <c r="Q6" s="54"/>
      <c r="R6" s="54"/>
      <c r="S6" s="54"/>
      <c r="T6" s="54"/>
    </row>
    <row r="7" spans="1:20" s="54" customFormat="1" ht="12.75" thickBot="1">
      <c r="A7" s="98" t="s">
        <v>53</v>
      </c>
      <c r="B7" s="99"/>
      <c r="C7" s="85"/>
      <c r="D7" s="100"/>
      <c r="E7" s="100"/>
      <c r="F7" s="115" t="s">
        <v>75</v>
      </c>
      <c r="G7" s="116" t="s">
        <v>75</v>
      </c>
      <c r="H7" s="101" t="s">
        <v>14</v>
      </c>
      <c r="I7" s="101" t="s">
        <v>35</v>
      </c>
      <c r="J7" s="116" t="s">
        <v>75</v>
      </c>
      <c r="K7" s="101" t="s">
        <v>35</v>
      </c>
      <c r="L7" s="115" t="s">
        <v>75</v>
      </c>
      <c r="M7" s="115" t="s">
        <v>75</v>
      </c>
      <c r="N7" s="102" t="s">
        <v>14</v>
      </c>
    </row>
    <row r="8" spans="1:20" s="82" customFormat="1">
      <c r="A8" s="117" t="s">
        <v>39</v>
      </c>
      <c r="B8" s="62"/>
      <c r="C8" s="62"/>
      <c r="D8" s="62"/>
      <c r="E8" s="62"/>
      <c r="F8" s="61"/>
      <c r="G8" s="93"/>
      <c r="H8" s="60"/>
      <c r="I8" s="60"/>
      <c r="J8" s="93"/>
      <c r="K8" s="60"/>
      <c r="L8" s="61"/>
      <c r="M8" s="61"/>
      <c r="N8" s="60"/>
    </row>
    <row r="9" spans="1:20" s="54" customFormat="1">
      <c r="A9" s="43">
        <v>10</v>
      </c>
      <c r="B9" s="43" t="s">
        <v>307</v>
      </c>
      <c r="C9" s="43" t="s">
        <v>17</v>
      </c>
      <c r="D9" s="43" t="s">
        <v>212</v>
      </c>
      <c r="E9" s="43" t="s">
        <v>119</v>
      </c>
      <c r="F9" s="187">
        <v>15000000</v>
      </c>
      <c r="G9" s="188">
        <v>0</v>
      </c>
      <c r="H9" s="89"/>
      <c r="I9" s="53"/>
      <c r="J9" s="206">
        <v>0</v>
      </c>
      <c r="K9" s="53"/>
      <c r="L9" s="206">
        <v>0</v>
      </c>
      <c r="M9" s="206">
        <v>0</v>
      </c>
      <c r="N9" s="80">
        <v>36950</v>
      </c>
    </row>
    <row r="10" spans="1:20" s="82" customFormat="1">
      <c r="A10" s="43">
        <v>3040</v>
      </c>
      <c r="B10" s="43" t="s">
        <v>395</v>
      </c>
      <c r="C10" s="43" t="s">
        <v>23</v>
      </c>
      <c r="D10" s="43" t="s">
        <v>213</v>
      </c>
      <c r="E10" s="43" t="s">
        <v>214</v>
      </c>
      <c r="F10" s="187">
        <v>14000000</v>
      </c>
      <c r="G10" s="187">
        <v>14000000</v>
      </c>
      <c r="H10" s="88">
        <v>37033</v>
      </c>
      <c r="I10" s="272">
        <f>SUM(H10+35)</f>
        <v>37068</v>
      </c>
      <c r="J10" s="77">
        <v>14000000</v>
      </c>
      <c r="K10" s="272">
        <f>SUM(H10+150)</f>
        <v>37183</v>
      </c>
      <c r="L10" s="165">
        <v>13035000</v>
      </c>
      <c r="M10" s="165">
        <f>SUM(J10-L10)</f>
        <v>965000</v>
      </c>
      <c r="N10" s="80">
        <v>37204</v>
      </c>
    </row>
    <row r="11" spans="1:20">
      <c r="A11" s="46"/>
      <c r="B11" s="46"/>
      <c r="C11" s="46"/>
      <c r="D11" s="46"/>
      <c r="E11" s="46"/>
      <c r="F11" s="185"/>
      <c r="G11" s="170"/>
      <c r="H11" s="60"/>
      <c r="I11" s="60"/>
      <c r="J11" s="120"/>
      <c r="K11" s="60"/>
      <c r="N11" s="49"/>
      <c r="O11" s="43"/>
      <c r="P11" s="43"/>
      <c r="Q11" s="43"/>
      <c r="R11" s="43"/>
      <c r="S11" s="43"/>
      <c r="T11" s="43"/>
    </row>
    <row r="12" spans="1:20">
      <c r="A12" s="46"/>
      <c r="B12" s="46"/>
      <c r="C12" s="46"/>
      <c r="D12" s="47" t="s">
        <v>36</v>
      </c>
      <c r="E12" s="47"/>
      <c r="F12" s="167">
        <f>SUM(F8:F10)</f>
        <v>29000000</v>
      </c>
      <c r="G12" s="215">
        <f>SUM(G8:G10)</f>
        <v>14000000</v>
      </c>
      <c r="H12" s="230"/>
      <c r="I12" s="230"/>
      <c r="J12" s="215">
        <f>SUM(J8:J10)</f>
        <v>14000000</v>
      </c>
      <c r="K12" s="230"/>
      <c r="L12" s="167">
        <f>SUM(L8:L10)</f>
        <v>13035000</v>
      </c>
      <c r="M12" s="167">
        <f>SUM(M8:M10)</f>
        <v>965000</v>
      </c>
      <c r="N12" s="49"/>
      <c r="O12" s="43"/>
      <c r="P12" s="43"/>
      <c r="Q12" s="43"/>
      <c r="R12" s="43"/>
      <c r="S12" s="43"/>
      <c r="T12" s="43"/>
    </row>
    <row r="13" spans="1:20">
      <c r="A13" s="43"/>
      <c r="B13" s="43"/>
      <c r="C13" s="43"/>
      <c r="D13" s="47"/>
      <c r="E13" s="47"/>
      <c r="F13" s="159"/>
      <c r="G13" s="159"/>
    </row>
    <row r="14" spans="1:20">
      <c r="A14" s="43"/>
      <c r="B14" s="43"/>
      <c r="C14" s="43"/>
      <c r="D14" s="47" t="s">
        <v>76</v>
      </c>
      <c r="E14" s="47"/>
      <c r="F14" s="163">
        <f>SUM(F12-G12)</f>
        <v>15000000</v>
      </c>
      <c r="G14" s="159"/>
    </row>
    <row r="15" spans="1:20">
      <c r="A15" s="117"/>
      <c r="B15" s="43"/>
      <c r="C15" s="43"/>
      <c r="D15" s="47"/>
      <c r="E15" s="47"/>
      <c r="F15" s="163"/>
      <c r="G15" s="159"/>
    </row>
    <row r="16" spans="1:20">
      <c r="A16" s="219"/>
      <c r="B16" s="86"/>
      <c r="C16" s="86"/>
      <c r="D16" s="47" t="s">
        <v>16</v>
      </c>
      <c r="E16" s="47"/>
      <c r="F16" s="207">
        <f>+C1-G12+M12</f>
        <v>8846637</v>
      </c>
      <c r="G16" s="159"/>
    </row>
    <row r="17" spans="1:6">
      <c r="A17" s="117"/>
      <c r="B17" s="86"/>
      <c r="C17" s="86"/>
      <c r="D17" s="86"/>
      <c r="E17" s="86"/>
      <c r="F17" s="197"/>
    </row>
    <row r="18" spans="1:6">
      <c r="C18" s="47"/>
    </row>
    <row r="19" spans="1:6">
      <c r="A19" s="47"/>
      <c r="B19" s="47"/>
      <c r="C19" s="47"/>
    </row>
  </sheetData>
  <phoneticPr fontId="0" type="noConversion"/>
  <pageMargins left="0.75" right="0.75" top="1" bottom="1" header="0.5" footer="0.5"/>
  <pageSetup fitToHeight="2" orientation="landscape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workbookViewId="0">
      <selection activeCell="L10" sqref="L10"/>
    </sheetView>
  </sheetViews>
  <sheetFormatPr defaultColWidth="10.85546875" defaultRowHeight="12"/>
  <cols>
    <col min="1" max="1" width="8.28515625" style="62" customWidth="1"/>
    <col min="2" max="2" width="7.85546875" style="62" bestFit="1" customWidth="1"/>
    <col min="3" max="3" width="13.140625" style="62" customWidth="1"/>
    <col min="4" max="4" width="23.5703125" style="62" customWidth="1"/>
    <col min="5" max="5" width="10.42578125" style="62" bestFit="1" customWidth="1"/>
    <col min="6" max="6" width="11.5703125" style="61" bestFit="1" customWidth="1"/>
    <col min="7" max="7" width="11.42578125" style="93" bestFit="1" customWidth="1"/>
    <col min="8" max="8" width="13.7109375" style="62" customWidth="1"/>
    <col min="9" max="9" width="9.5703125" style="62" bestFit="1" customWidth="1"/>
    <col min="10" max="10" width="11.140625" style="93" bestFit="1" customWidth="1"/>
    <col min="11" max="11" width="9.5703125" style="62" bestFit="1" customWidth="1"/>
    <col min="12" max="12" width="12.5703125" style="127" bestFit="1" customWidth="1"/>
    <col min="13" max="13" width="10.7109375" style="61" bestFit="1" customWidth="1"/>
    <col min="14" max="14" width="9.28515625" style="62" bestFit="1" customWidth="1"/>
    <col min="15" max="16384" width="10.85546875" style="62"/>
  </cols>
  <sheetData>
    <row r="1" spans="1:20" s="74" customFormat="1">
      <c r="A1" s="66" t="s">
        <v>19</v>
      </c>
      <c r="B1" s="67"/>
      <c r="C1" s="68">
        <v>29367460</v>
      </c>
      <c r="D1" s="68"/>
      <c r="E1" s="68"/>
      <c r="F1" s="109"/>
      <c r="G1" s="110"/>
      <c r="H1" s="72"/>
      <c r="I1" s="72"/>
      <c r="J1" s="110"/>
      <c r="K1" s="72"/>
      <c r="L1" s="123"/>
      <c r="M1" s="109"/>
      <c r="N1" s="73">
        <f>'SC1 MRB'!P1</f>
        <v>36893</v>
      </c>
      <c r="O1" s="54"/>
      <c r="P1" s="54"/>
      <c r="Q1" s="54"/>
      <c r="R1" s="54"/>
      <c r="S1" s="54"/>
      <c r="T1" s="54"/>
    </row>
    <row r="2" spans="1:20" s="82" customFormat="1">
      <c r="A2" s="75" t="s">
        <v>46</v>
      </c>
      <c r="B2" s="54"/>
      <c r="C2" s="76"/>
      <c r="D2" s="76"/>
      <c r="E2" s="76"/>
      <c r="F2" s="111"/>
      <c r="G2" s="112"/>
      <c r="H2" s="80"/>
      <c r="I2" s="80"/>
      <c r="J2" s="112"/>
      <c r="K2" s="80"/>
      <c r="L2" s="124"/>
      <c r="M2" s="113"/>
      <c r="N2" s="81"/>
      <c r="O2" s="54"/>
      <c r="P2" s="54"/>
      <c r="Q2" s="54"/>
      <c r="R2" s="54"/>
      <c r="S2" s="54"/>
      <c r="T2" s="54"/>
    </row>
    <row r="3" spans="1:20">
      <c r="A3" s="83"/>
      <c r="B3" s="82"/>
      <c r="C3" s="54"/>
      <c r="D3" s="54"/>
      <c r="E3" s="54"/>
      <c r="F3" s="111"/>
      <c r="G3" s="112"/>
      <c r="H3" s="80"/>
      <c r="I3" s="80"/>
      <c r="J3" s="112"/>
      <c r="K3" s="80"/>
      <c r="L3" s="125"/>
      <c r="M3" s="111"/>
      <c r="N3" s="81"/>
      <c r="O3" s="54"/>
      <c r="P3" s="54"/>
      <c r="Q3" s="54"/>
      <c r="R3" s="54"/>
      <c r="S3" s="54"/>
      <c r="T3" s="54"/>
    </row>
    <row r="4" spans="1:20" s="47" customFormat="1">
      <c r="A4" s="83" t="s">
        <v>54</v>
      </c>
      <c r="B4" s="54" t="s">
        <v>66</v>
      </c>
      <c r="C4" s="54" t="s">
        <v>52</v>
      </c>
      <c r="D4" s="76" t="s">
        <v>83</v>
      </c>
      <c r="E4" s="54" t="s">
        <v>79</v>
      </c>
      <c r="F4" s="113" t="s">
        <v>42</v>
      </c>
      <c r="G4" s="114" t="s">
        <v>13</v>
      </c>
      <c r="H4" s="53" t="s">
        <v>26</v>
      </c>
      <c r="I4" s="53" t="s">
        <v>56</v>
      </c>
      <c r="J4" s="114" t="s">
        <v>7</v>
      </c>
      <c r="K4" s="53" t="s">
        <v>95</v>
      </c>
      <c r="L4" s="113" t="s">
        <v>47</v>
      </c>
      <c r="M4" s="113" t="s">
        <v>78</v>
      </c>
      <c r="N4" s="81" t="s">
        <v>41</v>
      </c>
      <c r="O4" s="54"/>
      <c r="P4" s="54"/>
      <c r="Q4" s="54"/>
      <c r="R4" s="54"/>
      <c r="S4" s="54"/>
      <c r="T4" s="54"/>
    </row>
    <row r="5" spans="1:20" s="54" customFormat="1">
      <c r="A5" s="83" t="s">
        <v>82</v>
      </c>
      <c r="B5" s="82"/>
      <c r="D5" s="76"/>
      <c r="E5" s="76"/>
      <c r="F5" s="113" t="s">
        <v>75</v>
      </c>
      <c r="G5" s="114" t="s">
        <v>75</v>
      </c>
      <c r="H5" s="53" t="s">
        <v>14</v>
      </c>
      <c r="I5" s="53" t="s">
        <v>35</v>
      </c>
      <c r="J5" s="114" t="s">
        <v>75</v>
      </c>
      <c r="K5" s="53" t="s">
        <v>35</v>
      </c>
      <c r="L5" s="113" t="s">
        <v>75</v>
      </c>
      <c r="M5" s="113" t="s">
        <v>75</v>
      </c>
      <c r="N5" s="81" t="s">
        <v>8</v>
      </c>
    </row>
    <row r="6" spans="1:20" s="47" customFormat="1" ht="12.75" thickBot="1">
      <c r="A6" s="98" t="s">
        <v>53</v>
      </c>
      <c r="B6" s="85"/>
      <c r="C6" s="85"/>
      <c r="D6" s="85"/>
      <c r="E6" s="85"/>
      <c r="F6" s="115"/>
      <c r="G6" s="116"/>
      <c r="H6" s="101"/>
      <c r="I6" s="101"/>
      <c r="J6" s="116"/>
      <c r="K6" s="101"/>
      <c r="L6" s="126"/>
      <c r="M6" s="115"/>
      <c r="N6" s="102" t="s">
        <v>14</v>
      </c>
      <c r="O6" s="54"/>
      <c r="P6" s="54"/>
      <c r="Q6" s="54"/>
      <c r="R6" s="54"/>
      <c r="S6" s="54"/>
      <c r="T6" s="54"/>
    </row>
    <row r="7" spans="1:20" s="82" customFormat="1">
      <c r="A7" s="43">
        <v>4</v>
      </c>
      <c r="B7" s="43" t="s">
        <v>368</v>
      </c>
      <c r="C7" s="43" t="s">
        <v>58</v>
      </c>
      <c r="D7" s="43" t="s">
        <v>264</v>
      </c>
      <c r="E7" s="43" t="s">
        <v>342</v>
      </c>
      <c r="F7" s="57">
        <v>7300000</v>
      </c>
      <c r="G7" s="93">
        <v>0</v>
      </c>
      <c r="H7" s="60">
        <v>36893</v>
      </c>
      <c r="I7" s="60"/>
      <c r="J7" s="92">
        <v>0</v>
      </c>
      <c r="K7" s="60"/>
      <c r="L7" s="159">
        <v>0</v>
      </c>
      <c r="M7" s="159">
        <v>0</v>
      </c>
      <c r="N7" s="60">
        <v>36897</v>
      </c>
    </row>
    <row r="8" spans="1:20" s="82" customFormat="1">
      <c r="A8" s="43">
        <v>6</v>
      </c>
      <c r="B8" s="43" t="s">
        <v>368</v>
      </c>
      <c r="C8" s="43" t="s">
        <v>58</v>
      </c>
      <c r="D8" s="43" t="s">
        <v>265</v>
      </c>
      <c r="E8" s="43" t="s">
        <v>342</v>
      </c>
      <c r="F8" s="57">
        <v>6600000</v>
      </c>
      <c r="G8" s="92">
        <v>0</v>
      </c>
      <c r="H8" s="80">
        <v>36900</v>
      </c>
      <c r="I8" s="80"/>
      <c r="J8" s="92">
        <v>0</v>
      </c>
      <c r="K8" s="60"/>
      <c r="L8" s="159">
        <v>0</v>
      </c>
      <c r="M8" s="159">
        <v>0</v>
      </c>
      <c r="N8" s="80">
        <v>36900</v>
      </c>
    </row>
    <row r="9" spans="1:20" s="82" customFormat="1">
      <c r="A9" s="43">
        <v>3001</v>
      </c>
      <c r="B9" s="43" t="s">
        <v>307</v>
      </c>
      <c r="C9" s="43" t="s">
        <v>58</v>
      </c>
      <c r="D9" s="43" t="s">
        <v>266</v>
      </c>
      <c r="E9" s="43" t="s">
        <v>342</v>
      </c>
      <c r="F9" s="57">
        <v>15000000</v>
      </c>
      <c r="G9" s="187">
        <v>15000000</v>
      </c>
      <c r="H9" s="60">
        <v>36917</v>
      </c>
      <c r="I9" s="272">
        <f>SUM(H9+35)</f>
        <v>36952</v>
      </c>
      <c r="J9" s="77">
        <v>0</v>
      </c>
      <c r="K9" s="272">
        <f>SUM(H9+150)</f>
        <v>37067</v>
      </c>
      <c r="L9" s="159">
        <v>0</v>
      </c>
      <c r="M9" s="208">
        <f>SUM(G9-L9)</f>
        <v>15000000</v>
      </c>
      <c r="N9" s="60">
        <v>36951</v>
      </c>
    </row>
    <row r="10" spans="1:20" s="82" customFormat="1">
      <c r="A10" s="43">
        <v>3017</v>
      </c>
      <c r="B10" s="43" t="s">
        <v>395</v>
      </c>
      <c r="C10" s="43" t="s">
        <v>58</v>
      </c>
      <c r="D10" s="43" t="s">
        <v>267</v>
      </c>
      <c r="E10" s="43" t="s">
        <v>342</v>
      </c>
      <c r="F10" s="57">
        <v>13870000</v>
      </c>
      <c r="G10" s="187">
        <v>13870000</v>
      </c>
      <c r="H10" s="60">
        <v>36958</v>
      </c>
      <c r="I10" s="272">
        <f>SUM(H10+35)</f>
        <v>36993</v>
      </c>
      <c r="J10" s="77">
        <v>13870000</v>
      </c>
      <c r="K10" s="272">
        <f>SUM(H10+150)</f>
        <v>37108</v>
      </c>
      <c r="L10" s="159">
        <f>13870000-'2004 CF'!M55-'2004 CF'!M56</f>
        <v>11545000</v>
      </c>
      <c r="M10" s="208">
        <f>SUM(G10-L10)</f>
        <v>2325000</v>
      </c>
      <c r="N10" s="60">
        <v>37111</v>
      </c>
      <c r="O10" s="223" t="s">
        <v>522</v>
      </c>
    </row>
    <row r="11" spans="1:20" s="82" customFormat="1">
      <c r="A11" s="43">
        <v>14</v>
      </c>
      <c r="B11" s="43" t="s">
        <v>368</v>
      </c>
      <c r="C11" s="43" t="s">
        <v>58</v>
      </c>
      <c r="D11" s="43" t="s">
        <v>268</v>
      </c>
      <c r="E11" s="43" t="s">
        <v>342</v>
      </c>
      <c r="F11" s="57">
        <v>12100000</v>
      </c>
      <c r="G11" s="92">
        <v>0</v>
      </c>
      <c r="H11" s="60"/>
      <c r="I11" s="60"/>
      <c r="J11" s="92">
        <v>0</v>
      </c>
      <c r="K11" s="60"/>
      <c r="L11" s="159">
        <v>0</v>
      </c>
      <c r="M11" s="208">
        <v>0</v>
      </c>
      <c r="N11" s="60">
        <v>36958</v>
      </c>
    </row>
    <row r="12" spans="1:20" s="82" customFormat="1">
      <c r="A12" s="43">
        <v>30</v>
      </c>
      <c r="B12" s="43" t="s">
        <v>307</v>
      </c>
      <c r="C12" s="43" t="s">
        <v>58</v>
      </c>
      <c r="D12" s="43" t="s">
        <v>121</v>
      </c>
      <c r="E12" s="43" t="s">
        <v>342</v>
      </c>
      <c r="F12" s="57">
        <v>15000000</v>
      </c>
      <c r="G12" s="92">
        <v>0</v>
      </c>
      <c r="H12" s="60"/>
      <c r="I12" s="60"/>
      <c r="J12" s="92">
        <v>0</v>
      </c>
      <c r="K12" s="60"/>
      <c r="L12" s="159">
        <v>0</v>
      </c>
      <c r="M12" s="208">
        <v>0</v>
      </c>
      <c r="N12" s="60">
        <v>36967</v>
      </c>
    </row>
    <row r="13" spans="1:20" s="82" customFormat="1">
      <c r="A13" s="43">
        <v>3020</v>
      </c>
      <c r="B13" s="43" t="s">
        <v>307</v>
      </c>
      <c r="C13" s="43" t="s">
        <v>58</v>
      </c>
      <c r="D13" s="43" t="s">
        <v>269</v>
      </c>
      <c r="E13" s="43" t="s">
        <v>342</v>
      </c>
      <c r="F13" s="57">
        <v>15000000</v>
      </c>
      <c r="G13" s="57">
        <v>15000000</v>
      </c>
      <c r="H13" s="60">
        <v>36973</v>
      </c>
      <c r="I13" s="272">
        <f>SUM(H13+35)</f>
        <v>37008</v>
      </c>
      <c r="J13" s="77">
        <v>15000000</v>
      </c>
      <c r="K13" s="272">
        <f>SUM(H13+150)</f>
        <v>37123</v>
      </c>
      <c r="L13" s="159">
        <v>0</v>
      </c>
      <c r="M13" s="208">
        <f>SUM(G13-L13)</f>
        <v>15000000</v>
      </c>
      <c r="N13" s="60">
        <v>37083</v>
      </c>
    </row>
    <row r="14" spans="1:20" s="54" customFormat="1">
      <c r="A14" s="46"/>
      <c r="B14" s="46"/>
      <c r="C14" s="46"/>
      <c r="D14" s="46"/>
      <c r="E14" s="46"/>
      <c r="F14" s="306"/>
      <c r="G14" s="306"/>
      <c r="H14" s="49"/>
      <c r="I14" s="258"/>
      <c r="J14" s="84"/>
      <c r="K14" s="258"/>
      <c r="L14" s="179"/>
      <c r="M14" s="209"/>
      <c r="N14" s="49"/>
    </row>
    <row r="15" spans="1:20" s="55" customFormat="1">
      <c r="A15" s="62"/>
      <c r="B15" s="62"/>
      <c r="D15" s="47" t="s">
        <v>36</v>
      </c>
      <c r="E15" s="47"/>
      <c r="F15" s="168">
        <f>SUM(F7:F13)</f>
        <v>84870000</v>
      </c>
      <c r="G15" s="195">
        <f>SUM(G7:G13)</f>
        <v>43870000</v>
      </c>
      <c r="H15" s="60"/>
      <c r="I15" s="60"/>
      <c r="J15" s="195">
        <f>SUM(J7:J13)</f>
        <v>28870000</v>
      </c>
      <c r="K15" s="60"/>
      <c r="L15" s="210">
        <f>SUM(L7:L13)</f>
        <v>11545000</v>
      </c>
      <c r="M15" s="210">
        <f>SUM(M7:M13)</f>
        <v>32325000</v>
      </c>
      <c r="N15" s="49"/>
    </row>
    <row r="16" spans="1:20">
      <c r="D16" s="47"/>
      <c r="E16" s="47"/>
      <c r="F16" s="92"/>
      <c r="G16" s="59"/>
      <c r="H16" s="60"/>
      <c r="I16" s="60"/>
      <c r="J16" s="59"/>
      <c r="K16" s="60"/>
      <c r="L16" s="128"/>
      <c r="M16" s="128"/>
      <c r="N16" s="49"/>
      <c r="O16" s="43"/>
      <c r="P16" s="43"/>
      <c r="Q16" s="43"/>
      <c r="R16" s="43"/>
      <c r="S16" s="43"/>
      <c r="T16" s="43"/>
    </row>
    <row r="17" spans="1:20">
      <c r="A17" s="47"/>
      <c r="B17" s="47"/>
      <c r="D17" s="47" t="s">
        <v>76</v>
      </c>
      <c r="E17" s="47"/>
      <c r="F17" s="92">
        <f>SUM(F15-G15)</f>
        <v>41000000</v>
      </c>
      <c r="G17" s="121"/>
      <c r="H17" s="49"/>
      <c r="I17" s="49"/>
      <c r="J17" s="132"/>
      <c r="K17" s="49"/>
      <c r="L17" s="130"/>
      <c r="M17" s="130"/>
      <c r="N17" s="49"/>
      <c r="O17" s="43"/>
      <c r="P17" s="43"/>
      <c r="Q17" s="43"/>
      <c r="R17" s="43"/>
      <c r="S17" s="43"/>
      <c r="T17" s="43"/>
    </row>
    <row r="18" spans="1:20">
      <c r="A18" s="47"/>
      <c r="B18" s="47"/>
      <c r="D18" s="47"/>
      <c r="E18" s="47"/>
      <c r="G18" s="122"/>
      <c r="H18" s="49"/>
      <c r="I18" s="49"/>
      <c r="J18" s="122"/>
      <c r="K18" s="49"/>
      <c r="L18" s="133"/>
      <c r="M18" s="118"/>
      <c r="N18" s="49"/>
      <c r="O18" s="43"/>
      <c r="P18" s="43"/>
      <c r="Q18" s="43"/>
      <c r="R18" s="43"/>
      <c r="S18" s="43"/>
      <c r="T18" s="43"/>
    </row>
    <row r="19" spans="1:20">
      <c r="A19" s="47"/>
      <c r="B19" s="47"/>
      <c r="D19" s="47" t="s">
        <v>16</v>
      </c>
      <c r="E19" s="47"/>
      <c r="F19" s="168">
        <f>+C1-G15+M15+D1</f>
        <v>17822460</v>
      </c>
      <c r="G19" s="122"/>
      <c r="H19" s="49"/>
      <c r="I19" s="49"/>
      <c r="J19" s="122"/>
      <c r="K19" s="49"/>
      <c r="L19" s="133"/>
      <c r="M19" s="118"/>
      <c r="N19" s="49"/>
      <c r="O19" s="43"/>
      <c r="P19" s="43"/>
      <c r="Q19" s="43"/>
      <c r="R19" s="43"/>
      <c r="S19" s="43"/>
      <c r="T19" s="43"/>
    </row>
  </sheetData>
  <phoneticPr fontId="0" type="noConversion"/>
  <pageMargins left="0.75" right="0.75" top="1" bottom="1" header="0.5" footer="0.5"/>
  <pageSetup orientation="landscape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"/>
  <sheetViews>
    <sheetView workbookViewId="0">
      <selection activeCell="D7" sqref="D7"/>
    </sheetView>
  </sheetViews>
  <sheetFormatPr defaultColWidth="10.85546875" defaultRowHeight="10.5"/>
  <cols>
    <col min="1" max="1" width="8.28515625" style="1" customWidth="1"/>
    <col min="2" max="2" width="8.28515625" style="1" bestFit="1" customWidth="1"/>
    <col min="3" max="4" width="17.7109375" style="1" customWidth="1"/>
    <col min="5" max="5" width="10.85546875" style="1" customWidth="1"/>
    <col min="6" max="6" width="15.42578125" style="28" customWidth="1"/>
    <col min="7" max="7" width="17.140625" style="26" customWidth="1"/>
    <col min="8" max="8" width="13.7109375" style="1" customWidth="1"/>
    <col min="9" max="9" width="11.42578125" style="1" customWidth="1"/>
    <col min="10" max="10" width="11.7109375" style="26" bestFit="1" customWidth="1"/>
    <col min="11" max="11" width="10.140625" style="1" bestFit="1" customWidth="1"/>
    <col min="12" max="12" width="11.5703125" style="28" customWidth="1"/>
    <col min="13" max="13" width="11.7109375" style="28" bestFit="1" customWidth="1"/>
    <col min="14" max="16384" width="10.85546875" style="1"/>
  </cols>
  <sheetData>
    <row r="1" spans="1:20" s="5" customFormat="1">
      <c r="A1" s="24" t="s">
        <v>19</v>
      </c>
      <c r="B1" s="17"/>
      <c r="C1" s="6">
        <v>11889248</v>
      </c>
      <c r="D1" s="6"/>
      <c r="E1" s="6"/>
      <c r="F1" s="29"/>
      <c r="G1" s="34"/>
      <c r="H1" s="7"/>
      <c r="I1" s="7"/>
      <c r="J1" s="34"/>
      <c r="K1" s="7"/>
      <c r="L1" s="29"/>
      <c r="M1" s="29"/>
      <c r="N1" s="19">
        <f>'SC1 MRB'!P1</f>
        <v>36893</v>
      </c>
      <c r="O1" s="11"/>
      <c r="P1" s="11"/>
      <c r="Q1" s="11"/>
      <c r="R1" s="11"/>
      <c r="S1" s="11"/>
      <c r="T1" s="11"/>
    </row>
    <row r="2" spans="1:20" s="12" customFormat="1">
      <c r="A2" s="25" t="s">
        <v>74</v>
      </c>
      <c r="B2" s="11"/>
      <c r="C2" s="13"/>
      <c r="D2" s="13"/>
      <c r="E2" s="13"/>
      <c r="F2" s="33"/>
      <c r="G2" s="27"/>
      <c r="H2" s="14"/>
      <c r="I2" s="14"/>
      <c r="J2" s="27"/>
      <c r="K2" s="14"/>
      <c r="L2" s="32"/>
      <c r="M2" s="32"/>
      <c r="N2" s="20"/>
      <c r="O2" s="11"/>
      <c r="P2" s="11"/>
      <c r="Q2" s="11"/>
      <c r="R2" s="11"/>
      <c r="S2" s="11"/>
      <c r="T2" s="11"/>
    </row>
    <row r="3" spans="1:20">
      <c r="A3" s="21"/>
      <c r="B3" s="12"/>
      <c r="C3" s="11"/>
      <c r="D3" s="11"/>
      <c r="E3" s="11"/>
      <c r="F3" s="33"/>
      <c r="G3" s="27"/>
      <c r="H3" s="14"/>
      <c r="I3" s="14"/>
      <c r="J3" s="27"/>
      <c r="K3" s="14"/>
      <c r="L3" s="33"/>
      <c r="M3" s="33"/>
      <c r="N3" s="20"/>
      <c r="O3" s="11"/>
      <c r="P3" s="11"/>
      <c r="Q3" s="11"/>
      <c r="R3" s="11"/>
      <c r="S3" s="11"/>
      <c r="T3" s="11"/>
    </row>
    <row r="4" spans="1:20" s="8" customFormat="1">
      <c r="A4" s="21" t="s">
        <v>54</v>
      </c>
      <c r="B4" s="11" t="s">
        <v>66</v>
      </c>
      <c r="C4" s="11" t="s">
        <v>52</v>
      </c>
      <c r="D4" s="13" t="s">
        <v>83</v>
      </c>
      <c r="E4" s="11" t="s">
        <v>79</v>
      </c>
      <c r="F4" s="32" t="s">
        <v>42</v>
      </c>
      <c r="G4" s="39" t="s">
        <v>13</v>
      </c>
      <c r="H4" s="15" t="s">
        <v>26</v>
      </c>
      <c r="I4" s="15" t="s">
        <v>56</v>
      </c>
      <c r="J4" s="39" t="s">
        <v>7</v>
      </c>
      <c r="K4" s="15" t="s">
        <v>95</v>
      </c>
      <c r="L4" s="32" t="s">
        <v>47</v>
      </c>
      <c r="M4" s="32" t="s">
        <v>78</v>
      </c>
      <c r="N4" s="20" t="s">
        <v>41</v>
      </c>
      <c r="O4" s="11"/>
      <c r="P4" s="11"/>
      <c r="Q4" s="11"/>
      <c r="R4" s="11"/>
      <c r="S4" s="11"/>
      <c r="T4" s="11"/>
    </row>
    <row r="5" spans="1:20" s="11" customFormat="1">
      <c r="A5" s="21" t="s">
        <v>82</v>
      </c>
      <c r="B5" s="12"/>
      <c r="D5" s="13"/>
      <c r="E5" s="13"/>
      <c r="F5" s="32" t="s">
        <v>75</v>
      </c>
      <c r="G5" s="39" t="s">
        <v>75</v>
      </c>
      <c r="H5" s="15" t="s">
        <v>14</v>
      </c>
      <c r="I5" s="15" t="s">
        <v>35</v>
      </c>
      <c r="J5" s="39" t="s">
        <v>75</v>
      </c>
      <c r="K5" s="15" t="s">
        <v>35</v>
      </c>
      <c r="L5" s="32" t="s">
        <v>75</v>
      </c>
      <c r="M5" s="32" t="s">
        <v>75</v>
      </c>
      <c r="N5" s="20" t="s">
        <v>8</v>
      </c>
    </row>
    <row r="6" spans="1:20" s="8" customFormat="1" ht="11.25" thickBot="1">
      <c r="A6" s="22" t="s">
        <v>53</v>
      </c>
      <c r="B6" s="9"/>
      <c r="C6" s="9"/>
      <c r="D6" s="9"/>
      <c r="E6" s="9"/>
      <c r="F6" s="31"/>
      <c r="G6" s="35"/>
      <c r="H6" s="10"/>
      <c r="I6" s="10"/>
      <c r="J6" s="35"/>
      <c r="K6" s="10"/>
      <c r="L6" s="31"/>
      <c r="M6" s="31"/>
      <c r="N6" s="23" t="s">
        <v>14</v>
      </c>
      <c r="O6" s="11"/>
      <c r="P6" s="11"/>
      <c r="Q6" s="11"/>
      <c r="R6" s="11"/>
      <c r="S6" s="11"/>
      <c r="T6" s="11"/>
    </row>
    <row r="7" spans="1:20" s="12" customFormat="1" ht="12">
      <c r="A7">
        <v>95</v>
      </c>
      <c r="B7" t="s">
        <v>368</v>
      </c>
      <c r="C7" t="s">
        <v>151</v>
      </c>
      <c r="D7" t="s">
        <v>152</v>
      </c>
      <c r="E7" t="s">
        <v>153</v>
      </c>
      <c r="F7" s="41">
        <v>4000000</v>
      </c>
      <c r="G7" s="26">
        <v>0</v>
      </c>
      <c r="H7" s="2">
        <v>36907</v>
      </c>
      <c r="I7" s="2"/>
      <c r="J7" s="26">
        <v>0</v>
      </c>
      <c r="K7" s="2"/>
      <c r="L7" s="267">
        <v>0</v>
      </c>
      <c r="M7" s="267">
        <v>0</v>
      </c>
      <c r="N7" s="2">
        <v>36901</v>
      </c>
    </row>
    <row r="8" spans="1:20" ht="12">
      <c r="A8" s="334">
        <v>3009</v>
      </c>
      <c r="B8" s="334" t="s">
        <v>307</v>
      </c>
      <c r="C8" s="334" t="s">
        <v>159</v>
      </c>
      <c r="D8" s="334" t="s">
        <v>160</v>
      </c>
      <c r="E8" s="334" t="s">
        <v>161</v>
      </c>
      <c r="F8" s="335">
        <v>7855000</v>
      </c>
      <c r="G8" s="335">
        <v>7855000</v>
      </c>
      <c r="H8" s="2">
        <v>36925</v>
      </c>
      <c r="I8" s="272">
        <f>SUM(H8+35)</f>
        <v>36960</v>
      </c>
      <c r="J8" s="77">
        <v>7855000</v>
      </c>
      <c r="K8" s="272">
        <f>SUM(H8+150)</f>
        <v>37075</v>
      </c>
      <c r="L8" s="267">
        <v>0</v>
      </c>
      <c r="M8" s="77">
        <v>7855000</v>
      </c>
      <c r="N8" s="2">
        <v>37072</v>
      </c>
    </row>
    <row r="9" spans="1:20" s="16" customFormat="1">
      <c r="A9" s="12"/>
      <c r="B9" s="12"/>
      <c r="C9" s="12"/>
      <c r="D9" s="12"/>
      <c r="E9" s="12"/>
      <c r="F9" s="33"/>
      <c r="G9" s="36"/>
      <c r="H9" s="2"/>
      <c r="I9" s="2"/>
      <c r="J9" s="36"/>
      <c r="K9" s="2"/>
      <c r="L9" s="269"/>
      <c r="M9" s="269"/>
      <c r="N9" s="3"/>
    </row>
    <row r="10" spans="1:20" s="16" customFormat="1">
      <c r="A10" s="1"/>
      <c r="B10" s="1"/>
      <c r="C10" s="8" t="s">
        <v>36</v>
      </c>
      <c r="D10" s="8"/>
      <c r="E10" s="8"/>
      <c r="F10" s="297">
        <f>SUM(F7:F9)</f>
        <v>11855000</v>
      </c>
      <c r="G10" s="331">
        <f>SUM(G7:G8)</f>
        <v>7855000</v>
      </c>
      <c r="H10" s="332"/>
      <c r="I10" s="332"/>
      <c r="J10" s="333">
        <f>SUM(J7:J8)</f>
        <v>7855000</v>
      </c>
      <c r="K10" s="2"/>
      <c r="L10" s="246">
        <f>SUM(L7:L8)</f>
        <v>0</v>
      </c>
      <c r="M10" s="246">
        <f>SUM(M7:M8)</f>
        <v>7855000</v>
      </c>
      <c r="N10" s="3"/>
    </row>
    <row r="11" spans="1:20">
      <c r="C11" s="8"/>
      <c r="D11" s="8"/>
      <c r="E11" s="8"/>
      <c r="F11" s="298"/>
      <c r="G11" s="38"/>
      <c r="H11" s="2"/>
      <c r="I11" s="2"/>
      <c r="J11" s="38"/>
      <c r="K11" s="2"/>
      <c r="N11" s="3"/>
      <c r="O11" s="4"/>
      <c r="P11" s="4"/>
      <c r="Q11" s="4"/>
      <c r="R11" s="4"/>
      <c r="S11" s="4"/>
      <c r="T11" s="4"/>
    </row>
    <row r="12" spans="1:20">
      <c r="A12" s="8"/>
      <c r="B12" s="8"/>
      <c r="C12" s="8" t="s">
        <v>76</v>
      </c>
      <c r="D12" s="8"/>
      <c r="E12" s="8"/>
      <c r="F12" s="299">
        <f>SUM(F10-G10)</f>
        <v>4000000</v>
      </c>
      <c r="G12" s="40"/>
      <c r="H12" s="3"/>
      <c r="I12" s="3"/>
      <c r="J12" s="37"/>
      <c r="K12" s="3"/>
      <c r="L12" s="30"/>
      <c r="M12" s="30"/>
      <c r="N12" s="3"/>
      <c r="O12" s="4"/>
      <c r="P12" s="4"/>
      <c r="Q12" s="4"/>
      <c r="R12" s="4"/>
      <c r="S12" s="4"/>
      <c r="T12" s="4"/>
    </row>
    <row r="13" spans="1:20">
      <c r="A13" s="8"/>
      <c r="B13" s="8"/>
      <c r="C13" s="8"/>
      <c r="D13" s="8"/>
      <c r="E13" s="8"/>
      <c r="F13" s="298"/>
      <c r="G13" s="37"/>
      <c r="H13" s="3"/>
      <c r="I13" s="3"/>
      <c r="J13" s="37"/>
      <c r="K13" s="3"/>
      <c r="L13" s="30"/>
      <c r="M13" s="30"/>
      <c r="N13" s="3"/>
      <c r="O13" s="4"/>
      <c r="P13" s="4"/>
      <c r="Q13" s="4"/>
      <c r="R13" s="4"/>
      <c r="S13" s="4"/>
      <c r="T13" s="4"/>
    </row>
    <row r="14" spans="1:20">
      <c r="A14" s="8"/>
      <c r="B14" s="8"/>
      <c r="C14" s="8" t="s">
        <v>16</v>
      </c>
      <c r="D14" s="8"/>
      <c r="E14" s="8"/>
      <c r="F14" s="297">
        <f>+C1-G10+M10</f>
        <v>11889248</v>
      </c>
      <c r="G14" s="37"/>
      <c r="H14" s="3"/>
      <c r="I14" s="3"/>
      <c r="J14" s="37"/>
      <c r="K14" s="3"/>
      <c r="L14" s="30"/>
      <c r="M14" s="30"/>
      <c r="N14" s="3"/>
      <c r="O14" s="4"/>
      <c r="P14" s="4"/>
      <c r="Q14" s="4"/>
      <c r="R14" s="4"/>
      <c r="S14" s="4"/>
      <c r="T14" s="4"/>
    </row>
  </sheetData>
  <phoneticPr fontId="0" type="noConversion"/>
  <pageMargins left="0.75" right="0.75" top="1" bottom="1" header="0.5" footer="0.5"/>
  <pageSetup scale="70" orientation="landscape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workbookViewId="0">
      <selection activeCell="J57" sqref="J57"/>
    </sheetView>
  </sheetViews>
  <sheetFormatPr defaultColWidth="10.85546875" defaultRowHeight="10.5"/>
  <cols>
    <col min="1" max="1" width="8.28515625" style="1" customWidth="1"/>
    <col min="2" max="2" width="11.140625" style="1" bestFit="1" customWidth="1"/>
    <col min="3" max="3" width="17.7109375" style="1" customWidth="1"/>
    <col min="4" max="4" width="13.140625" style="1" bestFit="1" customWidth="1"/>
    <col min="5" max="5" width="10.140625" style="1" bestFit="1" customWidth="1"/>
    <col min="6" max="6" width="12.140625" style="28" bestFit="1" customWidth="1"/>
    <col min="7" max="7" width="12.5703125" style="26" bestFit="1" customWidth="1"/>
    <col min="8" max="8" width="13.7109375" style="1" customWidth="1"/>
    <col min="9" max="9" width="10.140625" style="1" bestFit="1" customWidth="1"/>
    <col min="10" max="10" width="15.42578125" style="26" customWidth="1"/>
    <col min="11" max="11" width="10.140625" style="1" bestFit="1" customWidth="1"/>
    <col min="12" max="12" width="12.28515625" style="28" bestFit="1" customWidth="1"/>
    <col min="13" max="13" width="10.5703125" style="28" bestFit="1" customWidth="1"/>
    <col min="14" max="16384" width="10.85546875" style="1"/>
  </cols>
  <sheetData>
    <row r="1" spans="1:20" s="5" customFormat="1">
      <c r="A1" s="24" t="s">
        <v>19</v>
      </c>
      <c r="B1" s="17"/>
      <c r="C1" s="6">
        <v>21813891</v>
      </c>
      <c r="D1" s="6"/>
      <c r="E1" s="6"/>
      <c r="F1" s="29"/>
      <c r="G1" s="34"/>
      <c r="H1" s="7"/>
      <c r="I1" s="7"/>
      <c r="J1" s="34"/>
      <c r="K1" s="7"/>
      <c r="L1" s="29"/>
      <c r="M1" s="29"/>
      <c r="N1" s="19">
        <f>'SC1 MRB'!P1</f>
        <v>36893</v>
      </c>
      <c r="O1" s="11"/>
      <c r="P1" s="11"/>
      <c r="Q1" s="11"/>
      <c r="R1" s="11"/>
      <c r="S1" s="11"/>
      <c r="T1" s="11"/>
    </row>
    <row r="2" spans="1:20" s="12" customFormat="1">
      <c r="A2" s="25" t="s">
        <v>124</v>
      </c>
      <c r="B2" s="11"/>
      <c r="C2" s="13"/>
      <c r="D2" s="13"/>
      <c r="E2" s="13"/>
      <c r="F2" s="33"/>
      <c r="G2" s="27"/>
      <c r="H2" s="14"/>
      <c r="I2" s="14"/>
      <c r="J2" s="27"/>
      <c r="K2" s="14"/>
      <c r="L2" s="32"/>
      <c r="M2" s="32"/>
      <c r="N2" s="20"/>
      <c r="O2" s="11"/>
      <c r="P2" s="11"/>
      <c r="Q2" s="11"/>
      <c r="R2" s="11"/>
      <c r="S2" s="11"/>
      <c r="T2" s="11"/>
    </row>
    <row r="3" spans="1:20">
      <c r="A3" s="21"/>
      <c r="B3" s="12"/>
      <c r="C3" s="11"/>
      <c r="D3" s="11"/>
      <c r="E3" s="11"/>
      <c r="F3" s="33"/>
      <c r="G3" s="27"/>
      <c r="H3" s="14"/>
      <c r="I3" s="14"/>
      <c r="J3" s="27"/>
      <c r="K3" s="14"/>
      <c r="L3" s="33"/>
      <c r="M3" s="33"/>
      <c r="N3" s="20"/>
      <c r="O3" s="11"/>
      <c r="P3" s="11"/>
      <c r="Q3" s="11"/>
      <c r="R3" s="11"/>
      <c r="S3" s="11"/>
      <c r="T3" s="11"/>
    </row>
    <row r="4" spans="1:20" s="8" customFormat="1">
      <c r="A4" s="21" t="s">
        <v>54</v>
      </c>
      <c r="B4" s="11" t="s">
        <v>66</v>
      </c>
      <c r="C4" s="11" t="s">
        <v>52</v>
      </c>
      <c r="D4" s="13" t="s">
        <v>83</v>
      </c>
      <c r="E4" s="11" t="s">
        <v>79</v>
      </c>
      <c r="F4" s="32" t="s">
        <v>42</v>
      </c>
      <c r="G4" s="39" t="s">
        <v>13</v>
      </c>
      <c r="H4" s="15" t="s">
        <v>26</v>
      </c>
      <c r="I4" s="15" t="s">
        <v>56</v>
      </c>
      <c r="J4" s="39" t="s">
        <v>7</v>
      </c>
      <c r="K4" s="15" t="s">
        <v>95</v>
      </c>
      <c r="L4" s="32" t="s">
        <v>47</v>
      </c>
      <c r="M4" s="32" t="s">
        <v>78</v>
      </c>
      <c r="N4" s="20" t="s">
        <v>41</v>
      </c>
      <c r="O4" s="11"/>
      <c r="P4" s="11"/>
      <c r="Q4" s="11"/>
      <c r="R4" s="11"/>
      <c r="S4" s="11"/>
      <c r="T4" s="11"/>
    </row>
    <row r="5" spans="1:20" s="11" customFormat="1">
      <c r="A5" s="21" t="s">
        <v>82</v>
      </c>
      <c r="B5" s="12"/>
      <c r="D5" s="13"/>
      <c r="E5" s="13"/>
      <c r="F5" s="32" t="s">
        <v>75</v>
      </c>
      <c r="G5" s="39" t="s">
        <v>75</v>
      </c>
      <c r="H5" s="15" t="s">
        <v>14</v>
      </c>
      <c r="I5" s="15" t="s">
        <v>35</v>
      </c>
      <c r="J5" s="39" t="s">
        <v>75</v>
      </c>
      <c r="K5" s="15" t="s">
        <v>35</v>
      </c>
      <c r="L5" s="32" t="s">
        <v>75</v>
      </c>
      <c r="M5" s="32" t="s">
        <v>75</v>
      </c>
      <c r="N5" s="20" t="s">
        <v>8</v>
      </c>
    </row>
    <row r="6" spans="1:20" s="8" customFormat="1" ht="11.25" thickBot="1">
      <c r="A6" s="22" t="s">
        <v>53</v>
      </c>
      <c r="B6" s="9"/>
      <c r="C6" s="9"/>
      <c r="D6" s="9"/>
      <c r="E6" s="9"/>
      <c r="F6" s="31"/>
      <c r="G6" s="35"/>
      <c r="H6" s="10"/>
      <c r="I6" s="10"/>
      <c r="J6" s="35"/>
      <c r="K6" s="10"/>
      <c r="L6" s="31"/>
      <c r="M6" s="31"/>
      <c r="N6" s="23" t="s">
        <v>14</v>
      </c>
      <c r="O6" s="11"/>
      <c r="P6" s="11"/>
      <c r="Q6" s="11"/>
      <c r="R6" s="11"/>
      <c r="S6" s="11"/>
      <c r="T6" s="11"/>
    </row>
    <row r="7" spans="1:20" ht="12">
      <c r="A7">
        <v>135</v>
      </c>
      <c r="B7" t="s">
        <v>368</v>
      </c>
      <c r="C7" t="s">
        <v>157</v>
      </c>
      <c r="D7" t="s">
        <v>158</v>
      </c>
      <c r="E7" t="s">
        <v>464</v>
      </c>
      <c r="F7" s="41">
        <v>7000000</v>
      </c>
      <c r="G7" s="268">
        <v>0</v>
      </c>
      <c r="H7" s="42"/>
      <c r="I7" s="2"/>
      <c r="J7" s="18">
        <v>0</v>
      </c>
      <c r="K7" s="2"/>
      <c r="L7" s="267">
        <v>0</v>
      </c>
      <c r="M7" s="267">
        <v>0</v>
      </c>
      <c r="N7" s="2">
        <v>36917</v>
      </c>
    </row>
    <row r="8" spans="1:20" s="16" customFormat="1">
      <c r="A8" s="1"/>
      <c r="B8" s="1"/>
      <c r="D8" s="8" t="s">
        <v>36</v>
      </c>
      <c r="F8" s="296">
        <f>SUM(F7:F7)</f>
        <v>7000000</v>
      </c>
      <c r="G8" s="245">
        <f>SUM(G7:G7)</f>
        <v>0</v>
      </c>
      <c r="H8" s="2"/>
      <c r="I8" s="2"/>
      <c r="J8" s="245">
        <f>SUM(J7:J7)</f>
        <v>0</v>
      </c>
      <c r="K8" s="2"/>
      <c r="L8" s="246">
        <f>SUM(L7:L7)</f>
        <v>0</v>
      </c>
      <c r="M8" s="246">
        <f>SUM(M7:M7)</f>
        <v>0</v>
      </c>
      <c r="N8" s="3"/>
    </row>
    <row r="9" spans="1:20">
      <c r="D9" s="8"/>
      <c r="F9" s="267"/>
      <c r="G9" s="38"/>
      <c r="H9" s="2"/>
      <c r="I9" s="2"/>
      <c r="J9" s="38"/>
      <c r="K9" s="2"/>
      <c r="N9" s="3"/>
      <c r="O9" s="4"/>
      <c r="P9" s="4"/>
      <c r="Q9" s="4"/>
      <c r="R9" s="4"/>
      <c r="S9" s="4"/>
      <c r="T9" s="4"/>
    </row>
    <row r="10" spans="1:20">
      <c r="A10" s="8"/>
      <c r="B10" s="8"/>
      <c r="D10" s="8" t="s">
        <v>76</v>
      </c>
      <c r="F10" s="267">
        <f>SUM(F8-G8)</f>
        <v>7000000</v>
      </c>
      <c r="G10" s="40"/>
      <c r="H10" s="3"/>
      <c r="I10" s="3"/>
      <c r="J10" s="37"/>
      <c r="K10" s="3"/>
      <c r="L10" s="30"/>
      <c r="M10" s="30"/>
      <c r="N10" s="3"/>
      <c r="O10" s="4"/>
      <c r="P10" s="4"/>
      <c r="Q10" s="4"/>
      <c r="R10" s="4"/>
      <c r="S10" s="4"/>
      <c r="T10" s="4"/>
    </row>
    <row r="11" spans="1:20">
      <c r="A11" s="8"/>
      <c r="B11" s="8"/>
      <c r="D11" s="8"/>
      <c r="F11" s="267"/>
      <c r="G11" s="37"/>
      <c r="H11" s="3"/>
      <c r="I11" s="3"/>
      <c r="J11" s="37"/>
      <c r="K11" s="3"/>
      <c r="L11" s="30"/>
      <c r="M11" s="30"/>
      <c r="N11" s="3"/>
      <c r="O11" s="4"/>
      <c r="P11" s="4"/>
      <c r="Q11" s="4"/>
      <c r="R11" s="4"/>
      <c r="S11" s="4"/>
      <c r="T11" s="4"/>
    </row>
    <row r="12" spans="1:20">
      <c r="A12" s="8"/>
      <c r="B12" s="8"/>
      <c r="D12" s="8" t="s">
        <v>16</v>
      </c>
      <c r="F12" s="296">
        <f>+C1-G8+M8</f>
        <v>21813891</v>
      </c>
      <c r="G12" s="37"/>
      <c r="H12" s="3"/>
      <c r="I12" s="3"/>
      <c r="J12" s="37"/>
      <c r="K12" s="3"/>
      <c r="L12" s="30"/>
      <c r="M12" s="30"/>
      <c r="N12" s="3"/>
      <c r="O12" s="4"/>
      <c r="P12" s="4"/>
      <c r="Q12" s="4"/>
      <c r="R12" s="4"/>
      <c r="S12" s="4"/>
      <c r="T12" s="4"/>
    </row>
  </sheetData>
  <phoneticPr fontId="6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workbookViewId="0">
      <selection activeCell="M9" sqref="M9"/>
    </sheetView>
  </sheetViews>
  <sheetFormatPr defaultColWidth="10.85546875" defaultRowHeight="12"/>
  <cols>
    <col min="1" max="1" width="8.28515625" style="62" customWidth="1"/>
    <col min="2" max="2" width="8.28515625" style="62" bestFit="1" customWidth="1"/>
    <col min="3" max="4" width="17.7109375" style="62" customWidth="1"/>
    <col min="5" max="5" width="10.28515625" style="62" bestFit="1" customWidth="1"/>
    <col min="6" max="6" width="11.28515625" style="61" bestFit="1" customWidth="1"/>
    <col min="7" max="7" width="11.42578125" style="93" bestFit="1" customWidth="1"/>
    <col min="8" max="8" width="13.7109375" style="62" customWidth="1"/>
    <col min="9" max="9" width="11.42578125" style="62" customWidth="1"/>
    <col min="10" max="10" width="12" style="93" bestFit="1" customWidth="1"/>
    <col min="11" max="11" width="9.140625" style="62" customWidth="1"/>
    <col min="12" max="12" width="14.140625" style="61" customWidth="1"/>
    <col min="13" max="13" width="14.42578125" style="61" customWidth="1"/>
    <col min="14" max="16384" width="10.85546875" style="62"/>
  </cols>
  <sheetData>
    <row r="1" spans="1:20" s="74" customFormat="1">
      <c r="A1" s="66" t="s">
        <v>19</v>
      </c>
      <c r="B1" s="67"/>
      <c r="C1" s="68">
        <v>11448906</v>
      </c>
      <c r="D1" s="68"/>
      <c r="E1" s="68"/>
      <c r="F1" s="109"/>
      <c r="G1" s="110"/>
      <c r="H1" s="72"/>
      <c r="I1" s="72"/>
      <c r="J1" s="110"/>
      <c r="K1" s="72"/>
      <c r="L1" s="109"/>
      <c r="M1" s="109"/>
      <c r="N1" s="73">
        <f>'SC1 MRB'!P1</f>
        <v>36893</v>
      </c>
      <c r="O1" s="54"/>
      <c r="P1" s="54"/>
      <c r="Q1" s="54"/>
      <c r="R1" s="54"/>
      <c r="S1" s="54"/>
      <c r="T1" s="54"/>
    </row>
    <row r="2" spans="1:20" s="82" customFormat="1">
      <c r="A2" s="75" t="s">
        <v>427</v>
      </c>
      <c r="B2" s="54"/>
      <c r="C2" s="76"/>
      <c r="D2" s="76"/>
      <c r="E2" s="76"/>
      <c r="F2" s="111"/>
      <c r="G2" s="112"/>
      <c r="H2" s="80"/>
      <c r="I2" s="80"/>
      <c r="J2" s="112"/>
      <c r="K2" s="80"/>
      <c r="L2" s="113"/>
      <c r="M2" s="113"/>
      <c r="N2" s="81"/>
      <c r="O2" s="54"/>
      <c r="P2" s="54"/>
      <c r="Q2" s="54"/>
      <c r="R2" s="54"/>
      <c r="S2" s="54"/>
      <c r="T2" s="54"/>
    </row>
    <row r="3" spans="1:20">
      <c r="A3" s="83"/>
      <c r="B3" s="82"/>
      <c r="C3" s="54"/>
      <c r="D3" s="54"/>
      <c r="E3" s="54"/>
      <c r="F3" s="111"/>
      <c r="G3" s="112"/>
      <c r="H3" s="80"/>
      <c r="I3" s="80"/>
      <c r="J3" s="112"/>
      <c r="K3" s="80"/>
      <c r="L3" s="111"/>
      <c r="M3" s="111"/>
      <c r="N3" s="81"/>
      <c r="O3" s="54"/>
      <c r="P3" s="54"/>
      <c r="Q3" s="54"/>
      <c r="R3" s="54"/>
      <c r="S3" s="54"/>
      <c r="T3" s="54"/>
    </row>
    <row r="4" spans="1:20" s="47" customFormat="1">
      <c r="A4" s="83" t="s">
        <v>54</v>
      </c>
      <c r="B4" s="54" t="s">
        <v>66</v>
      </c>
      <c r="C4" s="54" t="s">
        <v>52</v>
      </c>
      <c r="D4" s="76" t="s">
        <v>83</v>
      </c>
      <c r="E4" s="54" t="s">
        <v>79</v>
      </c>
      <c r="F4" s="113" t="s">
        <v>42</v>
      </c>
      <c r="G4" s="114" t="s">
        <v>13</v>
      </c>
      <c r="H4" s="53" t="s">
        <v>26</v>
      </c>
      <c r="I4" s="53" t="s">
        <v>56</v>
      </c>
      <c r="J4" s="114" t="s">
        <v>7</v>
      </c>
      <c r="K4" s="53" t="s">
        <v>95</v>
      </c>
      <c r="L4" s="113" t="s">
        <v>47</v>
      </c>
      <c r="M4" s="113" t="s">
        <v>78</v>
      </c>
      <c r="N4" s="81" t="s">
        <v>41</v>
      </c>
      <c r="O4" s="54"/>
      <c r="P4" s="54"/>
      <c r="Q4" s="54"/>
      <c r="R4" s="54"/>
      <c r="S4" s="54"/>
      <c r="T4" s="54"/>
    </row>
    <row r="5" spans="1:20" s="54" customFormat="1">
      <c r="A5" s="83" t="s">
        <v>82</v>
      </c>
      <c r="B5" s="82"/>
      <c r="D5" s="76"/>
      <c r="E5" s="76"/>
      <c r="F5" s="113" t="s">
        <v>75</v>
      </c>
      <c r="G5" s="114" t="s">
        <v>75</v>
      </c>
      <c r="H5" s="53" t="s">
        <v>14</v>
      </c>
      <c r="I5" s="53" t="s">
        <v>35</v>
      </c>
      <c r="J5" s="114" t="s">
        <v>75</v>
      </c>
      <c r="K5" s="53" t="s">
        <v>35</v>
      </c>
      <c r="L5" s="113" t="s">
        <v>75</v>
      </c>
      <c r="M5" s="113" t="s">
        <v>75</v>
      </c>
      <c r="N5" s="81" t="s">
        <v>8</v>
      </c>
    </row>
    <row r="6" spans="1:20" s="47" customFormat="1" ht="12.75" thickBot="1">
      <c r="A6" s="98" t="s">
        <v>53</v>
      </c>
      <c r="B6" s="85"/>
      <c r="C6" s="85"/>
      <c r="D6" s="85"/>
      <c r="E6" s="85"/>
      <c r="F6" s="115"/>
      <c r="G6" s="116"/>
      <c r="H6" s="101"/>
      <c r="I6" s="101"/>
      <c r="J6" s="116"/>
      <c r="K6" s="101"/>
      <c r="L6" s="115"/>
      <c r="M6" s="115"/>
      <c r="N6" s="102" t="s">
        <v>14</v>
      </c>
      <c r="O6" s="54"/>
      <c r="P6" s="54"/>
      <c r="Q6" s="54"/>
      <c r="R6" s="54"/>
      <c r="S6" s="54"/>
      <c r="T6" s="54"/>
    </row>
    <row r="7" spans="1:20" s="82" customFormat="1">
      <c r="A7" s="117"/>
      <c r="B7" s="62"/>
      <c r="C7" s="62"/>
      <c r="D7" s="62"/>
      <c r="E7" s="62"/>
      <c r="F7" s="61"/>
      <c r="G7" s="93"/>
      <c r="H7" s="60"/>
      <c r="I7" s="60"/>
      <c r="J7" s="93"/>
      <c r="K7" s="60"/>
      <c r="L7" s="61"/>
      <c r="M7" s="61"/>
      <c r="N7" s="60"/>
    </row>
    <row r="8" spans="1:20">
      <c r="A8" s="43">
        <v>2986</v>
      </c>
      <c r="B8" s="43" t="s">
        <v>307</v>
      </c>
      <c r="C8" s="43" t="s">
        <v>154</v>
      </c>
      <c r="D8" s="43" t="s">
        <v>155</v>
      </c>
      <c r="E8" s="43" t="s">
        <v>156</v>
      </c>
      <c r="F8" s="187">
        <v>5600000</v>
      </c>
      <c r="G8" s="187">
        <v>5600000</v>
      </c>
      <c r="H8" s="60">
        <v>36909</v>
      </c>
      <c r="I8" s="272">
        <f>SUM(H8+35)</f>
        <v>36944</v>
      </c>
      <c r="J8" s="77">
        <v>5050000</v>
      </c>
      <c r="K8" s="272">
        <f>SUM(H8+150)</f>
        <v>37059</v>
      </c>
      <c r="L8" s="93">
        <v>0</v>
      </c>
      <c r="M8" s="187">
        <v>5600000</v>
      </c>
      <c r="N8" s="60">
        <v>37033</v>
      </c>
    </row>
    <row r="9" spans="1:20">
      <c r="A9" s="43">
        <v>3019</v>
      </c>
      <c r="B9" s="43" t="s">
        <v>307</v>
      </c>
      <c r="C9" s="43" t="s">
        <v>154</v>
      </c>
      <c r="D9" s="43" t="s">
        <v>436</v>
      </c>
      <c r="E9" s="43" t="s">
        <v>156</v>
      </c>
      <c r="F9" s="187">
        <v>5500000</v>
      </c>
      <c r="G9" s="187">
        <v>5500000</v>
      </c>
      <c r="H9" s="60">
        <v>36967</v>
      </c>
      <c r="I9" s="272">
        <f>SUM(H9+35)</f>
        <v>37002</v>
      </c>
      <c r="J9" s="77">
        <v>0</v>
      </c>
      <c r="K9" s="272">
        <f>SUM(H9+150)</f>
        <v>37117</v>
      </c>
      <c r="L9" s="93">
        <v>0</v>
      </c>
      <c r="M9" s="187">
        <v>5500000</v>
      </c>
      <c r="N9" s="60">
        <v>37002</v>
      </c>
    </row>
    <row r="10" spans="1:20" s="55" customFormat="1">
      <c r="A10" s="62" t="s">
        <v>4</v>
      </c>
      <c r="B10" s="62"/>
      <c r="D10" s="47" t="s">
        <v>36</v>
      </c>
      <c r="E10" s="47"/>
      <c r="F10" s="167">
        <f>SUM(F7:F9)</f>
        <v>11100000</v>
      </c>
      <c r="G10" s="215">
        <f>SUM(G7:G9)</f>
        <v>11100000</v>
      </c>
      <c r="H10" s="60"/>
      <c r="I10" s="60"/>
      <c r="J10" s="215">
        <f>SUM(J7:J9)</f>
        <v>5050000</v>
      </c>
      <c r="K10" s="60"/>
      <c r="L10" s="169">
        <f>SUM(L7:L9)</f>
        <v>0</v>
      </c>
      <c r="M10" s="169">
        <f>SUM(M7:M9)</f>
        <v>11100000</v>
      </c>
      <c r="N10" s="49"/>
    </row>
    <row r="11" spans="1:20">
      <c r="D11" s="47"/>
      <c r="E11" s="47"/>
      <c r="F11" s="159"/>
      <c r="G11" s="170"/>
      <c r="H11" s="60"/>
      <c r="I11" s="60"/>
      <c r="J11" s="120"/>
      <c r="K11" s="60"/>
      <c r="N11" s="49"/>
      <c r="O11" s="43"/>
      <c r="P11" s="43"/>
      <c r="Q11" s="43"/>
      <c r="R11" s="43"/>
      <c r="S11" s="43"/>
      <c r="T11" s="43"/>
    </row>
    <row r="12" spans="1:20">
      <c r="A12" s="47"/>
      <c r="B12" s="47"/>
      <c r="D12" s="47" t="s">
        <v>76</v>
      </c>
      <c r="E12" s="47"/>
      <c r="F12" s="159">
        <f>SUM(F10-G10)</f>
        <v>0</v>
      </c>
      <c r="G12" s="171"/>
      <c r="H12" s="49"/>
      <c r="I12" s="49"/>
      <c r="J12" s="122"/>
      <c r="K12" s="49"/>
      <c r="L12" s="118"/>
      <c r="M12" s="118"/>
      <c r="N12" s="49"/>
      <c r="O12" s="43"/>
      <c r="P12" s="43"/>
      <c r="Q12" s="43"/>
      <c r="R12" s="43"/>
      <c r="S12" s="43"/>
      <c r="T12" s="43"/>
    </row>
    <row r="13" spans="1:20">
      <c r="A13" s="47"/>
      <c r="B13" s="47"/>
      <c r="D13" s="47"/>
      <c r="E13" s="47"/>
      <c r="F13" s="159"/>
      <c r="G13" s="171"/>
      <c r="H13" s="49"/>
      <c r="I13" s="49"/>
      <c r="J13" s="122"/>
      <c r="K13" s="49"/>
      <c r="L13" s="118"/>
      <c r="M13" s="118"/>
      <c r="N13" s="49"/>
      <c r="O13" s="43"/>
      <c r="P13" s="43"/>
      <c r="Q13" s="43"/>
      <c r="R13" s="43"/>
      <c r="S13" s="43"/>
      <c r="T13" s="43"/>
    </row>
    <row r="14" spans="1:20">
      <c r="A14" s="47"/>
      <c r="B14" s="47"/>
      <c r="D14" s="47" t="s">
        <v>16</v>
      </c>
      <c r="E14" s="47"/>
      <c r="F14" s="167">
        <f>+C1-G10+M10</f>
        <v>11448906</v>
      </c>
      <c r="G14" s="171"/>
      <c r="H14" s="49"/>
      <c r="I14" s="49"/>
      <c r="J14" s="122"/>
      <c r="K14" s="49"/>
      <c r="L14" s="118"/>
      <c r="M14" s="118"/>
      <c r="N14" s="49"/>
      <c r="O14" s="43"/>
      <c r="P14" s="43"/>
      <c r="Q14" s="43"/>
      <c r="R14" s="43"/>
      <c r="S14" s="43"/>
      <c r="T14" s="43"/>
    </row>
    <row r="29" spans="8:8">
      <c r="H29" s="93"/>
    </row>
  </sheetData>
  <phoneticPr fontId="6" type="noConversion"/>
  <pageMargins left="0.75" right="0.75" top="1" bottom="1" header="0.5" footer="0.5"/>
  <pageSetup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5"/>
  <sheetViews>
    <sheetView workbookViewId="0">
      <pane ySplit="5" topLeftCell="A6" activePane="bottomLeft" state="frozen"/>
      <selection activeCell="C12" sqref="C12"/>
      <selection pane="bottomLeft" activeCell="M10" sqref="M10"/>
    </sheetView>
  </sheetViews>
  <sheetFormatPr defaultColWidth="10.85546875" defaultRowHeight="12"/>
  <cols>
    <col min="1" max="1" width="8.28515625" style="62" customWidth="1"/>
    <col min="2" max="2" width="9.140625" style="62" customWidth="1"/>
    <col min="3" max="3" width="19.28515625" style="62" bestFit="1" customWidth="1"/>
    <col min="4" max="5" width="6.7109375" style="62" customWidth="1"/>
    <col min="6" max="6" width="11.5703125" style="92" bestFit="1" customWidth="1"/>
    <col min="7" max="7" width="12" style="92" bestFit="1" customWidth="1"/>
    <col min="8" max="8" width="13.7109375" style="62" bestFit="1" customWidth="1"/>
    <col min="9" max="9" width="11.5703125" style="62" bestFit="1" customWidth="1"/>
    <col min="10" max="10" width="11.5703125" style="92" bestFit="1" customWidth="1"/>
    <col min="11" max="11" width="9.5703125" style="62" customWidth="1"/>
    <col min="12" max="12" width="12.28515625" style="92" bestFit="1" customWidth="1"/>
    <col min="13" max="13" width="9.7109375" style="92" bestFit="1" customWidth="1"/>
    <col min="14" max="16384" width="10.85546875" style="62"/>
  </cols>
  <sheetData>
    <row r="1" spans="1:256" s="47" customFormat="1">
      <c r="A1" s="66" t="s">
        <v>29</v>
      </c>
      <c r="B1" s="67"/>
      <c r="C1" s="68">
        <v>188916185</v>
      </c>
      <c r="D1" s="68"/>
      <c r="E1" s="68"/>
      <c r="F1" s="69"/>
      <c r="G1" s="71"/>
      <c r="H1" s="72"/>
      <c r="I1" s="72"/>
      <c r="J1" s="71"/>
      <c r="K1" s="72"/>
      <c r="L1" s="71"/>
      <c r="M1" s="71"/>
      <c r="N1" s="73">
        <f>'SC1 MRB'!P1</f>
        <v>36893</v>
      </c>
      <c r="O1" s="43"/>
      <c r="P1" s="43"/>
      <c r="Q1" s="43"/>
      <c r="R1" s="43"/>
      <c r="S1" s="43"/>
      <c r="T1" s="43"/>
    </row>
    <row r="2" spans="1:256" ht="12.75" thickBot="1">
      <c r="A2" s="75" t="s">
        <v>43</v>
      </c>
      <c r="B2" s="54"/>
      <c r="C2" s="96"/>
      <c r="D2" s="96"/>
      <c r="E2" s="96"/>
      <c r="F2" s="96"/>
      <c r="G2" s="96"/>
      <c r="H2" s="80"/>
      <c r="I2" s="80"/>
      <c r="J2" s="96"/>
      <c r="K2" s="80"/>
      <c r="L2" s="96"/>
      <c r="M2" s="96"/>
      <c r="N2" s="81"/>
      <c r="O2" s="43"/>
      <c r="P2" s="43"/>
      <c r="Q2" s="43"/>
      <c r="R2" s="43"/>
      <c r="S2" s="43"/>
      <c r="T2" s="43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  <c r="BP2" s="82"/>
      <c r="BQ2" s="82"/>
      <c r="BR2" s="82"/>
      <c r="BS2" s="82"/>
      <c r="BT2" s="82"/>
      <c r="BU2" s="82"/>
      <c r="BV2" s="82"/>
      <c r="BW2" s="82"/>
      <c r="BX2" s="82"/>
      <c r="BY2" s="82"/>
      <c r="BZ2" s="82"/>
      <c r="CA2" s="82"/>
      <c r="CB2" s="82"/>
      <c r="CC2" s="82"/>
      <c r="CD2" s="82"/>
      <c r="CE2" s="82"/>
      <c r="CF2" s="82"/>
      <c r="CG2" s="82"/>
      <c r="CH2" s="82"/>
      <c r="CI2" s="82"/>
      <c r="CJ2" s="82"/>
      <c r="CK2" s="82"/>
      <c r="CL2" s="82"/>
      <c r="CM2" s="82"/>
      <c r="CN2" s="82"/>
      <c r="CO2" s="82"/>
      <c r="CP2" s="82"/>
      <c r="CQ2" s="82"/>
      <c r="CR2" s="82"/>
      <c r="CS2" s="82"/>
      <c r="CT2" s="82"/>
      <c r="CU2" s="82"/>
      <c r="CV2" s="82"/>
      <c r="CW2" s="82"/>
      <c r="CX2" s="82"/>
      <c r="CY2" s="82"/>
      <c r="CZ2" s="82"/>
      <c r="DA2" s="82"/>
      <c r="DB2" s="82"/>
      <c r="DC2" s="82"/>
      <c r="DD2" s="82"/>
      <c r="DE2" s="82"/>
      <c r="DF2" s="82"/>
      <c r="DG2" s="82"/>
      <c r="DH2" s="82"/>
      <c r="DI2" s="82"/>
      <c r="DJ2" s="82"/>
      <c r="DK2" s="82"/>
      <c r="DL2" s="82"/>
      <c r="DM2" s="82"/>
      <c r="DN2" s="82"/>
      <c r="DO2" s="82"/>
      <c r="DP2" s="82"/>
      <c r="DQ2" s="82"/>
      <c r="DR2" s="82"/>
      <c r="DS2" s="82"/>
      <c r="DT2" s="82"/>
      <c r="DU2" s="82"/>
      <c r="DV2" s="82"/>
      <c r="DW2" s="82"/>
      <c r="DX2" s="82"/>
      <c r="DY2" s="82"/>
      <c r="DZ2" s="82"/>
      <c r="EA2" s="82"/>
      <c r="EB2" s="82"/>
      <c r="EC2" s="82"/>
      <c r="ED2" s="82"/>
      <c r="EE2" s="82"/>
      <c r="EF2" s="82"/>
      <c r="EG2" s="82"/>
      <c r="EH2" s="82"/>
      <c r="EI2" s="82"/>
      <c r="EJ2" s="82"/>
      <c r="EK2" s="82"/>
      <c r="EL2" s="82"/>
      <c r="EM2" s="82"/>
      <c r="EN2" s="82"/>
      <c r="EO2" s="82"/>
      <c r="EP2" s="82"/>
      <c r="EQ2" s="82"/>
      <c r="ER2" s="82"/>
      <c r="ES2" s="82"/>
      <c r="ET2" s="82"/>
      <c r="EU2" s="82"/>
      <c r="EV2" s="82"/>
      <c r="EW2" s="82"/>
      <c r="EX2" s="82"/>
      <c r="EY2" s="82"/>
      <c r="EZ2" s="82"/>
      <c r="FA2" s="82"/>
      <c r="FB2" s="82"/>
      <c r="FC2" s="82"/>
      <c r="FD2" s="82"/>
      <c r="FE2" s="82"/>
      <c r="FF2" s="82"/>
      <c r="FG2" s="82"/>
      <c r="FH2" s="82"/>
      <c r="FI2" s="82"/>
      <c r="FJ2" s="82"/>
      <c r="FK2" s="82"/>
      <c r="FL2" s="82"/>
      <c r="FM2" s="82"/>
      <c r="FN2" s="82"/>
      <c r="FO2" s="82"/>
      <c r="FP2" s="82"/>
      <c r="FQ2" s="82"/>
      <c r="FR2" s="82"/>
      <c r="FS2" s="82"/>
      <c r="FT2" s="82"/>
      <c r="FU2" s="82"/>
      <c r="FV2" s="82"/>
      <c r="FW2" s="82"/>
      <c r="FX2" s="82"/>
      <c r="FY2" s="82"/>
      <c r="FZ2" s="82"/>
      <c r="GA2" s="82"/>
      <c r="GB2" s="82"/>
      <c r="GC2" s="82"/>
      <c r="GD2" s="82"/>
      <c r="GE2" s="82"/>
      <c r="GF2" s="82"/>
      <c r="GG2" s="82"/>
      <c r="GH2" s="82"/>
      <c r="GI2" s="82"/>
      <c r="GJ2" s="82"/>
      <c r="GK2" s="82"/>
      <c r="GL2" s="82"/>
      <c r="GM2" s="82"/>
      <c r="GN2" s="82"/>
      <c r="GO2" s="82"/>
      <c r="GP2" s="82"/>
      <c r="GQ2" s="82"/>
      <c r="GR2" s="82"/>
      <c r="GS2" s="82"/>
      <c r="GT2" s="82"/>
      <c r="GU2" s="82"/>
      <c r="GV2" s="82"/>
      <c r="GW2" s="82"/>
      <c r="GX2" s="82"/>
      <c r="GY2" s="82"/>
      <c r="GZ2" s="82"/>
      <c r="HA2" s="82"/>
      <c r="HB2" s="82"/>
      <c r="HC2" s="82"/>
      <c r="HD2" s="82"/>
      <c r="HE2" s="82"/>
      <c r="HF2" s="82"/>
      <c r="HG2" s="82"/>
      <c r="HH2" s="82"/>
      <c r="HI2" s="82"/>
      <c r="HJ2" s="82"/>
      <c r="HK2" s="82"/>
      <c r="HL2" s="82"/>
      <c r="HM2" s="82"/>
      <c r="HN2" s="82"/>
      <c r="HO2" s="82"/>
      <c r="HP2" s="82"/>
      <c r="HQ2" s="82"/>
      <c r="HR2" s="82"/>
      <c r="HS2" s="82"/>
      <c r="HT2" s="82"/>
      <c r="HU2" s="82"/>
      <c r="HV2" s="82"/>
      <c r="HW2" s="82"/>
      <c r="HX2" s="82"/>
      <c r="HY2" s="82"/>
      <c r="HZ2" s="82"/>
      <c r="IA2" s="82"/>
      <c r="IB2" s="82"/>
      <c r="IC2" s="82"/>
      <c r="ID2" s="82"/>
      <c r="IE2" s="82"/>
      <c r="IF2" s="82"/>
      <c r="IG2" s="82"/>
      <c r="IH2" s="82"/>
      <c r="II2" s="82"/>
      <c r="IJ2" s="82"/>
      <c r="IK2" s="82"/>
      <c r="IL2" s="82"/>
      <c r="IM2" s="82"/>
      <c r="IN2" s="82"/>
      <c r="IO2" s="82"/>
      <c r="IP2" s="82"/>
      <c r="IQ2" s="82"/>
      <c r="IR2" s="82"/>
      <c r="IS2" s="82"/>
      <c r="IT2" s="82"/>
      <c r="IU2" s="82"/>
      <c r="IV2" s="82"/>
    </row>
    <row r="3" spans="1:256" s="97" customFormat="1">
      <c r="A3" s="83" t="s">
        <v>54</v>
      </c>
      <c r="B3" s="82"/>
      <c r="C3" s="54"/>
      <c r="D3" s="54"/>
      <c r="E3" s="54"/>
      <c r="F3" s="82"/>
      <c r="G3" s="96"/>
      <c r="H3" s="80"/>
      <c r="I3" s="80"/>
      <c r="J3" s="96"/>
      <c r="K3" s="80"/>
      <c r="L3" s="96"/>
      <c r="M3" s="96"/>
      <c r="N3" s="81" t="s">
        <v>41</v>
      </c>
      <c r="O3" s="43"/>
      <c r="P3" s="43"/>
      <c r="Q3" s="43"/>
      <c r="R3" s="43"/>
      <c r="S3" s="43"/>
      <c r="T3" s="43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6"/>
      <c r="DB3" s="86"/>
      <c r="DC3" s="86"/>
      <c r="DD3" s="86"/>
      <c r="DE3" s="86"/>
      <c r="DF3" s="86"/>
      <c r="DG3" s="86"/>
      <c r="DH3" s="86"/>
      <c r="DI3" s="86"/>
      <c r="DJ3" s="86"/>
      <c r="DK3" s="86"/>
      <c r="DL3" s="86"/>
      <c r="DM3" s="86"/>
      <c r="DN3" s="86"/>
      <c r="DO3" s="86"/>
      <c r="DP3" s="86"/>
      <c r="DQ3" s="86"/>
      <c r="DR3" s="86"/>
      <c r="DS3" s="86"/>
      <c r="DT3" s="86"/>
      <c r="DU3" s="86"/>
      <c r="DV3" s="86"/>
      <c r="DW3" s="86"/>
      <c r="DX3" s="86"/>
      <c r="DY3" s="86"/>
      <c r="DZ3" s="86"/>
      <c r="EA3" s="86"/>
      <c r="EB3" s="86"/>
      <c r="EC3" s="86"/>
      <c r="ED3" s="86"/>
      <c r="EE3" s="86"/>
      <c r="EF3" s="86"/>
      <c r="EG3" s="86"/>
      <c r="EH3" s="86"/>
      <c r="EI3" s="86"/>
      <c r="EJ3" s="86"/>
      <c r="EK3" s="86"/>
      <c r="EL3" s="86"/>
      <c r="EM3" s="86"/>
      <c r="EN3" s="86"/>
      <c r="EO3" s="86"/>
      <c r="EP3" s="86"/>
      <c r="EQ3" s="86"/>
      <c r="ER3" s="86"/>
      <c r="ES3" s="86"/>
      <c r="ET3" s="86"/>
      <c r="EU3" s="86"/>
      <c r="EV3" s="86"/>
      <c r="EW3" s="86"/>
      <c r="EX3" s="86"/>
      <c r="EY3" s="86"/>
      <c r="EZ3" s="86"/>
      <c r="FA3" s="86"/>
      <c r="FB3" s="86"/>
      <c r="FC3" s="86"/>
      <c r="FD3" s="86"/>
      <c r="FE3" s="86"/>
      <c r="FF3" s="86"/>
      <c r="FG3" s="86"/>
      <c r="FH3" s="86"/>
      <c r="FI3" s="86"/>
      <c r="FJ3" s="86"/>
      <c r="FK3" s="86"/>
      <c r="FL3" s="86"/>
      <c r="FM3" s="86"/>
      <c r="FN3" s="86"/>
      <c r="FO3" s="86"/>
      <c r="FP3" s="86"/>
      <c r="FQ3" s="86"/>
      <c r="FR3" s="86"/>
      <c r="FS3" s="86"/>
      <c r="FT3" s="86"/>
      <c r="FU3" s="86"/>
      <c r="FV3" s="86"/>
      <c r="FW3" s="86"/>
      <c r="FX3" s="86"/>
      <c r="FY3" s="86"/>
      <c r="FZ3" s="86"/>
      <c r="GA3" s="86"/>
      <c r="GB3" s="86"/>
      <c r="GC3" s="86"/>
      <c r="GD3" s="86"/>
      <c r="GE3" s="86"/>
      <c r="GF3" s="86"/>
      <c r="GG3" s="86"/>
      <c r="GH3" s="86"/>
      <c r="GI3" s="86"/>
      <c r="GJ3" s="86"/>
      <c r="GK3" s="86"/>
      <c r="GL3" s="86"/>
      <c r="GM3" s="86"/>
      <c r="GN3" s="86"/>
      <c r="GO3" s="86"/>
      <c r="GP3" s="86"/>
      <c r="GQ3" s="86"/>
      <c r="GR3" s="86"/>
      <c r="GS3" s="86"/>
      <c r="GT3" s="86"/>
      <c r="GU3" s="86"/>
      <c r="GV3" s="86"/>
      <c r="GW3" s="86"/>
      <c r="GX3" s="86"/>
      <c r="GY3" s="86"/>
      <c r="GZ3" s="86"/>
      <c r="HA3" s="86"/>
      <c r="HB3" s="86"/>
      <c r="HC3" s="86"/>
      <c r="HD3" s="86"/>
      <c r="HE3" s="86"/>
      <c r="HF3" s="86"/>
      <c r="HG3" s="86"/>
      <c r="HH3" s="86"/>
      <c r="HI3" s="86"/>
      <c r="HJ3" s="86"/>
      <c r="HK3" s="86"/>
      <c r="HL3" s="86"/>
      <c r="HM3" s="86"/>
      <c r="HN3" s="86"/>
      <c r="HO3" s="86"/>
      <c r="HP3" s="86"/>
      <c r="HQ3" s="86"/>
      <c r="HR3" s="86"/>
      <c r="HS3" s="86"/>
      <c r="HT3" s="86"/>
      <c r="HU3" s="86"/>
      <c r="HV3" s="86"/>
      <c r="HW3" s="86"/>
      <c r="HX3" s="86"/>
      <c r="HY3" s="86"/>
      <c r="HZ3" s="86"/>
      <c r="IA3" s="86"/>
      <c r="IB3" s="86"/>
      <c r="IC3" s="86"/>
      <c r="ID3" s="86"/>
      <c r="IE3" s="86"/>
      <c r="IF3" s="86"/>
      <c r="IG3" s="86"/>
      <c r="IH3" s="86"/>
      <c r="II3" s="86"/>
      <c r="IJ3" s="86"/>
      <c r="IK3" s="86"/>
      <c r="IL3" s="86"/>
      <c r="IM3" s="86"/>
      <c r="IN3" s="86"/>
      <c r="IO3" s="86"/>
      <c r="IP3" s="86"/>
      <c r="IQ3" s="86"/>
      <c r="IR3" s="86"/>
      <c r="IS3" s="86"/>
      <c r="IT3" s="86"/>
      <c r="IU3" s="86"/>
      <c r="IV3" s="86"/>
    </row>
    <row r="4" spans="1:256" s="43" customFormat="1">
      <c r="A4" s="83" t="s">
        <v>82</v>
      </c>
      <c r="B4" s="54" t="s">
        <v>66</v>
      </c>
      <c r="C4" s="54" t="s">
        <v>52</v>
      </c>
      <c r="D4" s="54"/>
      <c r="E4" s="54"/>
      <c r="F4" s="54" t="s">
        <v>94</v>
      </c>
      <c r="G4" s="76" t="s">
        <v>13</v>
      </c>
      <c r="H4" s="53" t="s">
        <v>26</v>
      </c>
      <c r="I4" s="53" t="s">
        <v>56</v>
      </c>
      <c r="J4" s="76" t="s">
        <v>7</v>
      </c>
      <c r="K4" s="53" t="s">
        <v>72</v>
      </c>
      <c r="L4" s="76" t="s">
        <v>47</v>
      </c>
      <c r="M4" s="76" t="s">
        <v>78</v>
      </c>
      <c r="N4" s="81" t="s">
        <v>8</v>
      </c>
    </row>
    <row r="5" spans="1:256" s="43" customFormat="1" ht="12.75" thickBot="1">
      <c r="A5" s="98" t="s">
        <v>32</v>
      </c>
      <c r="B5" s="99"/>
      <c r="C5" s="300"/>
      <c r="D5" s="100" t="s">
        <v>83</v>
      </c>
      <c r="E5" s="100" t="s">
        <v>79</v>
      </c>
      <c r="F5" s="100" t="s">
        <v>75</v>
      </c>
      <c r="G5" s="100" t="s">
        <v>75</v>
      </c>
      <c r="H5" s="101" t="s">
        <v>14</v>
      </c>
      <c r="I5" s="101" t="s">
        <v>35</v>
      </c>
      <c r="J5" s="100" t="s">
        <v>75</v>
      </c>
      <c r="K5" s="101" t="s">
        <v>35</v>
      </c>
      <c r="L5" s="100" t="s">
        <v>75</v>
      </c>
      <c r="M5" s="100" t="s">
        <v>75</v>
      </c>
      <c r="N5" s="102" t="s">
        <v>14</v>
      </c>
    </row>
    <row r="6" spans="1:256" s="46" customFormat="1">
      <c r="A6" s="54"/>
      <c r="B6" s="82"/>
      <c r="C6" s="76"/>
      <c r="D6" s="76"/>
      <c r="E6" s="76"/>
      <c r="F6" s="76"/>
      <c r="G6" s="76"/>
      <c r="H6" s="53"/>
      <c r="I6" s="53"/>
      <c r="J6" s="76"/>
      <c r="K6" s="53"/>
      <c r="L6" s="76"/>
      <c r="M6" s="76"/>
      <c r="N6" s="53"/>
      <c r="O6" s="43"/>
      <c r="P6" s="43"/>
      <c r="Q6" s="43"/>
      <c r="R6" s="43"/>
      <c r="S6" s="43"/>
      <c r="T6" s="43"/>
    </row>
    <row r="7" spans="1:256" s="86" customFormat="1">
      <c r="A7" s="43">
        <v>2972</v>
      </c>
      <c r="B7" s="43" t="s">
        <v>395</v>
      </c>
      <c r="C7" s="43" t="s">
        <v>57</v>
      </c>
      <c r="D7" s="43" t="s">
        <v>360</v>
      </c>
      <c r="E7" s="108" t="s">
        <v>361</v>
      </c>
      <c r="F7" s="57">
        <f>ROUND(SUM(G24*C$1),0)</f>
        <v>45607164</v>
      </c>
      <c r="G7" s="187">
        <v>45607164</v>
      </c>
      <c r="H7" s="149">
        <v>36897</v>
      </c>
      <c r="I7" s="56">
        <f>H7+35</f>
        <v>36932</v>
      </c>
      <c r="J7" s="294">
        <v>45600000</v>
      </c>
      <c r="K7" s="56">
        <f>H7+120</f>
        <v>37017</v>
      </c>
      <c r="L7" s="163">
        <v>45600000</v>
      </c>
      <c r="M7" s="103">
        <f>SUM(G7-J7)</f>
        <v>7164</v>
      </c>
      <c r="N7" s="60">
        <v>36956</v>
      </c>
    </row>
    <row r="8" spans="1:256" s="43" customFormat="1">
      <c r="A8" s="43">
        <v>2997</v>
      </c>
      <c r="B8" s="43" t="s">
        <v>395</v>
      </c>
      <c r="C8" s="43" t="s">
        <v>63</v>
      </c>
      <c r="D8" s="43" t="s">
        <v>360</v>
      </c>
      <c r="E8" s="108" t="s">
        <v>361</v>
      </c>
      <c r="F8" s="57">
        <f>ROUND(SUM(G25*C$1),0)</f>
        <v>78527900</v>
      </c>
      <c r="G8" s="187">
        <v>78527900</v>
      </c>
      <c r="H8" s="293">
        <v>36915</v>
      </c>
      <c r="I8" s="56">
        <f>H8+35</f>
        <v>36950</v>
      </c>
      <c r="J8" s="294">
        <v>78500000</v>
      </c>
      <c r="K8" s="56">
        <f>H8+120</f>
        <v>37035</v>
      </c>
      <c r="L8" s="161">
        <v>78500000</v>
      </c>
      <c r="M8" s="103">
        <f>SUM(G8-J8)</f>
        <v>27900</v>
      </c>
      <c r="N8" s="80">
        <v>36929</v>
      </c>
    </row>
    <row r="9" spans="1:256">
      <c r="A9" s="43">
        <v>3006</v>
      </c>
      <c r="B9" s="43" t="s">
        <v>395</v>
      </c>
      <c r="C9" s="43" t="s">
        <v>286</v>
      </c>
      <c r="D9" s="43" t="s">
        <v>360</v>
      </c>
      <c r="E9" s="108" t="s">
        <v>361</v>
      </c>
      <c r="F9" s="57">
        <f>ROUND(SUM(G26*C$1),0)</f>
        <v>64781121</v>
      </c>
      <c r="G9" s="187">
        <v>64781121</v>
      </c>
      <c r="H9" s="222">
        <v>36921</v>
      </c>
      <c r="I9" s="56">
        <f>H9+35</f>
        <v>36956</v>
      </c>
      <c r="J9" s="294">
        <v>64775000</v>
      </c>
      <c r="K9" s="56">
        <f>H9+120</f>
        <v>37041</v>
      </c>
      <c r="L9" s="163">
        <v>64750000</v>
      </c>
      <c r="M9" s="103">
        <f>SUM(G9-L9)</f>
        <v>31121</v>
      </c>
      <c r="N9" s="60">
        <v>37001</v>
      </c>
    </row>
    <row r="10" spans="1:256" s="55" customFormat="1" ht="12.75" thickBot="1">
      <c r="A10" s="82"/>
      <c r="B10" s="82"/>
      <c r="C10" s="82"/>
      <c r="D10" s="82"/>
      <c r="E10" s="82"/>
      <c r="F10" s="105"/>
      <c r="G10" s="105"/>
      <c r="H10" s="60"/>
      <c r="I10" s="60"/>
      <c r="J10" s="105"/>
      <c r="K10" s="60"/>
      <c r="L10" s="105"/>
      <c r="M10" s="105"/>
      <c r="N10" s="49"/>
    </row>
    <row r="11" spans="1:256" s="55" customFormat="1">
      <c r="A11" s="82"/>
      <c r="B11" s="82"/>
      <c r="C11" s="82"/>
      <c r="D11" s="82"/>
      <c r="E11" s="82"/>
      <c r="F11" s="96"/>
      <c r="G11" s="96"/>
      <c r="H11" s="60"/>
      <c r="I11" s="60"/>
      <c r="J11" s="96"/>
      <c r="K11" s="60"/>
      <c r="L11" s="96"/>
      <c r="M11" s="96"/>
      <c r="N11" s="49"/>
    </row>
    <row r="12" spans="1:256" s="55" customFormat="1">
      <c r="A12" s="62"/>
      <c r="B12" s="62"/>
      <c r="C12" s="47" t="s">
        <v>36</v>
      </c>
      <c r="D12" s="47"/>
      <c r="E12" s="47"/>
      <c r="F12" s="195">
        <f>SUM(F7:F9)</f>
        <v>188916185</v>
      </c>
      <c r="G12" s="195">
        <f>SUM(G7:G9)</f>
        <v>188916185</v>
      </c>
      <c r="H12" s="60"/>
      <c r="I12" s="60"/>
      <c r="J12" s="195">
        <f>SUM(J7:J9)</f>
        <v>188875000</v>
      </c>
      <c r="K12" s="60"/>
      <c r="L12" s="195">
        <f>SUM(L7:L9)</f>
        <v>188850000</v>
      </c>
      <c r="M12" s="195">
        <f>SUM(M7:M9)</f>
        <v>66185</v>
      </c>
      <c r="N12" s="49"/>
    </row>
    <row r="13" spans="1:256">
      <c r="C13" s="47"/>
      <c r="D13" s="47"/>
      <c r="E13" s="47"/>
      <c r="F13" s="106"/>
      <c r="G13" s="106"/>
      <c r="H13" s="60"/>
      <c r="I13" s="60"/>
      <c r="J13" s="106"/>
      <c r="K13" s="60"/>
      <c r="L13" s="106"/>
      <c r="M13" s="106"/>
      <c r="N13" s="49"/>
      <c r="O13" s="43"/>
      <c r="P13" s="43"/>
      <c r="Q13" s="43"/>
      <c r="R13" s="43"/>
      <c r="S13" s="43"/>
      <c r="T13" s="43"/>
    </row>
    <row r="14" spans="1:256">
      <c r="A14" s="47"/>
      <c r="B14" s="47"/>
      <c r="C14" s="47" t="s">
        <v>76</v>
      </c>
      <c r="D14" s="47"/>
      <c r="E14" s="47"/>
      <c r="F14" s="92">
        <f>SUM(F12-G12)</f>
        <v>0</v>
      </c>
      <c r="G14" s="107"/>
      <c r="H14" s="49"/>
      <c r="I14" s="49"/>
      <c r="K14" s="49"/>
      <c r="L14" s="107"/>
      <c r="M14" s="107"/>
      <c r="N14" s="49"/>
      <c r="O14" s="43"/>
      <c r="P14" s="43"/>
      <c r="Q14" s="43"/>
      <c r="R14" s="43"/>
      <c r="S14" s="43"/>
      <c r="T14" s="43"/>
    </row>
    <row r="15" spans="1:256">
      <c r="A15" s="47"/>
      <c r="B15" s="47"/>
      <c r="C15" s="47"/>
      <c r="D15" s="47"/>
      <c r="E15" s="47"/>
      <c r="F15" s="106"/>
      <c r="G15" s="107"/>
      <c r="H15" s="49"/>
      <c r="I15" s="49"/>
      <c r="J15" s="107"/>
      <c r="K15" s="49"/>
      <c r="L15" s="107"/>
      <c r="M15" s="107"/>
      <c r="N15" s="49"/>
      <c r="O15" s="43"/>
      <c r="P15" s="43"/>
      <c r="Q15" s="43"/>
      <c r="R15" s="43"/>
      <c r="S15" s="43"/>
      <c r="T15" s="43"/>
    </row>
    <row r="16" spans="1:256">
      <c r="A16" s="47"/>
      <c r="B16" s="47"/>
      <c r="C16" s="47" t="s">
        <v>16</v>
      </c>
      <c r="D16" s="47"/>
      <c r="E16" s="47"/>
      <c r="F16" s="168">
        <f>C1-G12+M12</f>
        <v>66185</v>
      </c>
      <c r="M16" s="107"/>
      <c r="N16" s="49"/>
      <c r="O16" s="43"/>
      <c r="P16" s="43"/>
      <c r="Q16" s="43"/>
      <c r="R16" s="43"/>
      <c r="S16" s="43"/>
      <c r="T16" s="43"/>
    </row>
    <row r="18" spans="1:14">
      <c r="A18" s="305" t="s">
        <v>438</v>
      </c>
    </row>
    <row r="19" spans="1:14">
      <c r="A19" s="43">
        <v>2960</v>
      </c>
      <c r="B19" s="108" t="s">
        <v>395</v>
      </c>
      <c r="C19" s="108" t="s">
        <v>57</v>
      </c>
      <c r="D19" s="43" t="s">
        <v>360</v>
      </c>
      <c r="E19" s="108" t="s">
        <v>361</v>
      </c>
      <c r="F19" s="187">
        <v>58000000</v>
      </c>
      <c r="G19" s="187">
        <v>58000000</v>
      </c>
      <c r="H19" s="80">
        <v>36838</v>
      </c>
      <c r="I19" s="60">
        <f>H19+35</f>
        <v>36873</v>
      </c>
      <c r="J19" s="159">
        <v>58000000</v>
      </c>
      <c r="K19" s="60">
        <f>H19+120</f>
        <v>36958</v>
      </c>
      <c r="L19" s="159">
        <v>58000000</v>
      </c>
      <c r="M19" s="163">
        <v>0</v>
      </c>
      <c r="N19" s="60">
        <v>36956</v>
      </c>
    </row>
    <row r="22" spans="1:14">
      <c r="F22" s="92" t="s">
        <v>369</v>
      </c>
      <c r="H22" s="62" t="s">
        <v>366</v>
      </c>
    </row>
    <row r="23" spans="1:14" ht="14.25">
      <c r="F23" s="265" t="s">
        <v>365</v>
      </c>
      <c r="H23" s="264" t="s">
        <v>397</v>
      </c>
    </row>
    <row r="24" spans="1:14">
      <c r="C24" s="43" t="s">
        <v>57</v>
      </c>
      <c r="D24" s="43"/>
      <c r="E24" s="43"/>
      <c r="F24" s="92">
        <v>144404939.75</v>
      </c>
      <c r="G24" s="263">
        <f>SUM(F24/F$27)</f>
        <v>0.24141480337271942</v>
      </c>
      <c r="H24" s="59">
        <f>SUM(F24-F7)</f>
        <v>98797775.75</v>
      </c>
      <c r="I24" s="59">
        <f>SUM(H24+M7)</f>
        <v>98804939.75</v>
      </c>
    </row>
    <row r="25" spans="1:14">
      <c r="C25" s="43" t="s">
        <v>63</v>
      </c>
      <c r="D25" s="43"/>
      <c r="E25" s="43"/>
      <c r="F25" s="92">
        <v>248641129.30000001</v>
      </c>
      <c r="G25" s="263">
        <f>SUM(F25/F$27)</f>
        <v>0.41567587261384115</v>
      </c>
      <c r="H25" s="59">
        <f>SUM(F25-F8)</f>
        <v>170113229.30000001</v>
      </c>
      <c r="I25" s="59">
        <f>SUM(H25+M8)</f>
        <v>170141129.30000001</v>
      </c>
    </row>
    <row r="26" spans="1:14">
      <c r="C26" s="43" t="s">
        <v>286</v>
      </c>
      <c r="D26" s="43"/>
      <c r="E26" s="43"/>
      <c r="F26" s="92">
        <v>205115011.93000001</v>
      </c>
      <c r="G26" s="263">
        <f>SUM(F26/F$27)</f>
        <v>0.34290932401343943</v>
      </c>
      <c r="H26" s="59">
        <f>SUM(F26-F9)</f>
        <v>140333890.93000001</v>
      </c>
      <c r="I26" s="59">
        <f>SUM(H26+M9)</f>
        <v>140365011.93000001</v>
      </c>
    </row>
    <row r="27" spans="1:14">
      <c r="F27" s="168">
        <f>SUM(F24:F26)</f>
        <v>598161080.98000002</v>
      </c>
      <c r="H27" s="195">
        <f>SUM(H24:H26)</f>
        <v>409244895.98000002</v>
      </c>
      <c r="I27" s="195">
        <f>SUM(I24:I26)</f>
        <v>409311080.98000002</v>
      </c>
      <c r="L27" s="93"/>
    </row>
    <row r="28" spans="1:14">
      <c r="L28" s="93"/>
    </row>
    <row r="29" spans="1:14">
      <c r="L29" s="93"/>
    </row>
    <row r="30" spans="1:14">
      <c r="L30" s="93"/>
    </row>
    <row r="31" spans="1:14">
      <c r="L31" s="93"/>
    </row>
    <row r="32" spans="1:14">
      <c r="L32" s="93"/>
    </row>
    <row r="33" spans="8:12">
      <c r="H33" s="120"/>
      <c r="L33" s="93"/>
    </row>
    <row r="34" spans="8:12">
      <c r="L34" s="93"/>
    </row>
    <row r="35" spans="8:12">
      <c r="L35" s="93"/>
    </row>
  </sheetData>
  <phoneticPr fontId="0" type="noConversion"/>
  <pageMargins left="0.75" right="0.75" top="1" bottom="1" header="0.5" footer="0.5"/>
  <pageSetup scale="89" orientation="landscape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D13" sqref="D13"/>
    </sheetView>
  </sheetViews>
  <sheetFormatPr defaultColWidth="11.42578125" defaultRowHeight="12"/>
  <cols>
    <col min="1" max="1" width="6.5703125" style="43" customWidth="1"/>
    <col min="2" max="2" width="7.85546875" style="43" bestFit="1" customWidth="1"/>
    <col min="3" max="3" width="25.85546875" style="43" customWidth="1"/>
    <col min="4" max="4" width="23.85546875" style="43" customWidth="1"/>
    <col min="5" max="5" width="9.85546875" style="43" customWidth="1"/>
    <col min="6" max="6" width="14.5703125" style="58" customWidth="1"/>
    <col min="7" max="7" width="11.5703125" style="43" bestFit="1" customWidth="1"/>
    <col min="8" max="8" width="9.140625" style="43" customWidth="1"/>
    <col min="9" max="9" width="9.5703125" style="43" bestFit="1" customWidth="1"/>
    <col min="10" max="10" width="11.5703125" style="58" bestFit="1" customWidth="1"/>
    <col min="11" max="11" width="9.5703125" style="43" bestFit="1" customWidth="1"/>
    <col min="12" max="12" width="13.7109375" style="43" customWidth="1"/>
    <col min="13" max="13" width="11.5703125" style="43" bestFit="1" customWidth="1"/>
    <col min="14" max="14" width="9.28515625" style="43" bestFit="1" customWidth="1"/>
    <col min="15" max="16384" width="11.42578125" style="43"/>
  </cols>
  <sheetData>
    <row r="1" spans="1:20" s="74" customFormat="1">
      <c r="A1" s="66" t="s">
        <v>59</v>
      </c>
      <c r="B1" s="67"/>
      <c r="C1" s="68">
        <v>530764518</v>
      </c>
      <c r="D1" s="68"/>
      <c r="E1" s="68"/>
      <c r="F1" s="69"/>
      <c r="G1" s="70"/>
      <c r="H1" s="71"/>
      <c r="I1" s="72"/>
      <c r="J1" s="69"/>
      <c r="K1" s="72"/>
      <c r="L1" s="69"/>
      <c r="M1" s="69"/>
      <c r="N1" s="73">
        <f ca="1">NOW()</f>
        <v>43335.604789930556</v>
      </c>
      <c r="O1" s="62"/>
      <c r="P1" s="62"/>
      <c r="Q1" s="62"/>
      <c r="R1" s="62"/>
      <c r="S1" s="62"/>
      <c r="T1" s="62"/>
    </row>
    <row r="2" spans="1:20" s="82" customFormat="1">
      <c r="A2" s="75" t="s">
        <v>50</v>
      </c>
      <c r="B2" s="54"/>
      <c r="C2" s="76"/>
      <c r="D2" s="76"/>
      <c r="E2" s="76"/>
      <c r="F2" s="77"/>
      <c r="G2" s="78"/>
      <c r="H2" s="79"/>
      <c r="I2" s="80"/>
      <c r="J2" s="77"/>
      <c r="K2" s="80"/>
      <c r="L2" s="77"/>
      <c r="M2" s="77"/>
      <c r="N2" s="81"/>
      <c r="O2" s="62"/>
      <c r="P2" s="62"/>
      <c r="Q2" s="62"/>
      <c r="R2" s="62"/>
      <c r="S2" s="62"/>
      <c r="T2" s="62"/>
    </row>
    <row r="3" spans="1:20" s="82" customFormat="1">
      <c r="A3" s="75"/>
      <c r="B3" s="54"/>
      <c r="C3" s="76"/>
      <c r="D3" s="76"/>
      <c r="E3" s="76"/>
      <c r="F3" s="77"/>
      <c r="G3" s="77"/>
      <c r="H3" s="80"/>
      <c r="I3" s="80"/>
      <c r="J3" s="77"/>
      <c r="K3" s="80"/>
      <c r="L3" s="77"/>
      <c r="M3" s="77"/>
      <c r="N3" s="81"/>
      <c r="O3" s="62"/>
      <c r="P3" s="62"/>
      <c r="Q3" s="62"/>
      <c r="R3" s="62"/>
      <c r="S3" s="62"/>
      <c r="T3" s="62"/>
    </row>
    <row r="4" spans="1:20" s="47" customFormat="1">
      <c r="A4" s="83" t="s">
        <v>54</v>
      </c>
      <c r="B4" s="54" t="s">
        <v>66</v>
      </c>
      <c r="C4" s="54" t="s">
        <v>52</v>
      </c>
      <c r="D4" s="76" t="s">
        <v>83</v>
      </c>
      <c r="E4" s="76" t="s">
        <v>79</v>
      </c>
      <c r="F4" s="84" t="s">
        <v>42</v>
      </c>
      <c r="G4" s="84" t="s">
        <v>13</v>
      </c>
      <c r="H4" s="53" t="s">
        <v>26</v>
      </c>
      <c r="I4" s="53" t="s">
        <v>56</v>
      </c>
      <c r="J4" s="84" t="s">
        <v>7</v>
      </c>
      <c r="K4" s="53" t="s">
        <v>72</v>
      </c>
      <c r="L4" s="84" t="s">
        <v>47</v>
      </c>
      <c r="M4" s="84" t="s">
        <v>78</v>
      </c>
      <c r="N4" s="81" t="s">
        <v>41</v>
      </c>
      <c r="O4" s="62"/>
      <c r="P4" s="62"/>
      <c r="Q4" s="62"/>
      <c r="R4" s="62"/>
      <c r="S4" s="62"/>
      <c r="T4" s="62"/>
    </row>
    <row r="5" spans="1:20" s="47" customFormat="1">
      <c r="A5" s="83" t="s">
        <v>82</v>
      </c>
      <c r="B5" s="82"/>
      <c r="C5" s="54"/>
      <c r="D5" s="76"/>
      <c r="E5" s="76"/>
      <c r="F5" s="84" t="s">
        <v>75</v>
      </c>
      <c r="G5" s="84" t="s">
        <v>75</v>
      </c>
      <c r="H5" s="53" t="s">
        <v>14</v>
      </c>
      <c r="I5" s="53" t="s">
        <v>35</v>
      </c>
      <c r="J5" s="84" t="s">
        <v>75</v>
      </c>
      <c r="K5" s="53" t="s">
        <v>35</v>
      </c>
      <c r="L5" s="84" t="s">
        <v>75</v>
      </c>
      <c r="M5" s="84" t="s">
        <v>75</v>
      </c>
      <c r="N5" s="81" t="s">
        <v>8</v>
      </c>
      <c r="O5" s="62"/>
      <c r="P5" s="62"/>
      <c r="Q5" s="62"/>
      <c r="R5" s="62"/>
      <c r="S5" s="62"/>
      <c r="T5" s="62"/>
    </row>
    <row r="6" spans="1:20" s="54" customFormat="1" ht="12.75" thickBot="1">
      <c r="A6" s="98" t="s">
        <v>32</v>
      </c>
      <c r="B6" s="99"/>
      <c r="C6" s="85"/>
      <c r="D6" s="100"/>
      <c r="E6" s="100"/>
      <c r="F6" s="137"/>
      <c r="G6" s="137"/>
      <c r="H6" s="101"/>
      <c r="I6" s="101"/>
      <c r="J6" s="137"/>
      <c r="K6" s="101"/>
      <c r="L6" s="137"/>
      <c r="M6" s="137"/>
      <c r="N6" s="102" t="s">
        <v>14</v>
      </c>
      <c r="O6" s="82"/>
      <c r="P6" s="82"/>
      <c r="Q6" s="82"/>
      <c r="R6" s="82"/>
      <c r="S6" s="82"/>
      <c r="T6" s="82"/>
    </row>
    <row r="7" spans="1:20" s="86" customFormat="1">
      <c r="A7" s="43">
        <v>2973</v>
      </c>
      <c r="B7" s="43" t="s">
        <v>395</v>
      </c>
      <c r="C7" s="43" t="s">
        <v>290</v>
      </c>
      <c r="D7" s="43" t="s">
        <v>291</v>
      </c>
      <c r="E7" s="43" t="s">
        <v>110</v>
      </c>
      <c r="F7" s="187">
        <v>25000000</v>
      </c>
      <c r="G7" s="197">
        <v>25000000</v>
      </c>
      <c r="H7" s="56">
        <v>36897</v>
      </c>
      <c r="I7" s="56">
        <f t="shared" ref="I7:I26" si="0">H7+35</f>
        <v>36932</v>
      </c>
      <c r="J7" s="285">
        <v>25000000</v>
      </c>
      <c r="K7" s="56">
        <f t="shared" ref="K7:K21" si="1">H7+120</f>
        <v>37017</v>
      </c>
      <c r="L7" s="196">
        <v>25000000</v>
      </c>
      <c r="M7" s="196">
        <v>0</v>
      </c>
      <c r="N7" s="88">
        <v>37014</v>
      </c>
    </row>
    <row r="8" spans="1:20" s="86" customFormat="1">
      <c r="A8" s="43">
        <v>2974</v>
      </c>
      <c r="B8" s="43" t="s">
        <v>307</v>
      </c>
      <c r="C8" s="43" t="s">
        <v>125</v>
      </c>
      <c r="D8" s="43" t="s">
        <v>300</v>
      </c>
      <c r="E8" s="43" t="s">
        <v>293</v>
      </c>
      <c r="F8" s="187">
        <v>25000000</v>
      </c>
      <c r="G8" s="187">
        <v>25000000</v>
      </c>
      <c r="H8" s="56">
        <v>36897</v>
      </c>
      <c r="I8" s="56">
        <f t="shared" si="0"/>
        <v>36932</v>
      </c>
      <c r="J8" s="285">
        <v>0</v>
      </c>
      <c r="K8" s="56">
        <f t="shared" si="1"/>
        <v>37017</v>
      </c>
      <c r="L8" s="196">
        <v>0</v>
      </c>
      <c r="M8" s="196">
        <f>SUM(G8-L8)</f>
        <v>25000000</v>
      </c>
      <c r="N8" s="88">
        <v>36928</v>
      </c>
    </row>
    <row r="9" spans="1:20" s="86" customFormat="1">
      <c r="A9" s="43">
        <v>2975</v>
      </c>
      <c r="B9" s="43" t="s">
        <v>395</v>
      </c>
      <c r="C9" s="43" t="s">
        <v>131</v>
      </c>
      <c r="D9" s="43" t="s">
        <v>296</v>
      </c>
      <c r="E9" s="43" t="s">
        <v>161</v>
      </c>
      <c r="F9" s="187">
        <v>25000000</v>
      </c>
      <c r="G9" s="187">
        <v>25000000</v>
      </c>
      <c r="H9" s="56">
        <v>36897</v>
      </c>
      <c r="I9" s="56">
        <f t="shared" si="0"/>
        <v>36932</v>
      </c>
      <c r="J9" s="285">
        <v>25000000</v>
      </c>
      <c r="K9" s="56">
        <f t="shared" si="1"/>
        <v>37017</v>
      </c>
      <c r="L9" s="196">
        <v>25000000</v>
      </c>
      <c r="M9" s="196">
        <v>0</v>
      </c>
      <c r="N9" s="88">
        <v>36984</v>
      </c>
    </row>
    <row r="10" spans="1:20" s="86" customFormat="1">
      <c r="A10" s="43">
        <v>2980</v>
      </c>
      <c r="B10" s="43" t="s">
        <v>307</v>
      </c>
      <c r="C10" s="43" t="s">
        <v>287</v>
      </c>
      <c r="D10" s="43" t="s">
        <v>289</v>
      </c>
      <c r="E10" s="43" t="s">
        <v>379</v>
      </c>
      <c r="F10" s="187">
        <v>9800000</v>
      </c>
      <c r="G10" s="187">
        <v>9800000</v>
      </c>
      <c r="H10" s="56">
        <v>36901</v>
      </c>
      <c r="I10" s="56">
        <f t="shared" si="0"/>
        <v>36936</v>
      </c>
      <c r="J10" s="187">
        <v>9800000</v>
      </c>
      <c r="K10" s="56">
        <f t="shared" si="1"/>
        <v>37021</v>
      </c>
      <c r="L10" s="196">
        <v>0</v>
      </c>
      <c r="M10" s="196">
        <f t="shared" ref="M10:M17" si="2">SUM(G10-L10)</f>
        <v>9800000</v>
      </c>
      <c r="N10" s="88">
        <v>37014</v>
      </c>
    </row>
    <row r="11" spans="1:20" s="86" customFormat="1">
      <c r="A11" s="43">
        <v>2981</v>
      </c>
      <c r="B11" s="43" t="s">
        <v>307</v>
      </c>
      <c r="C11" s="43" t="s">
        <v>125</v>
      </c>
      <c r="D11" s="43" t="s">
        <v>128</v>
      </c>
      <c r="E11" s="43" t="s">
        <v>112</v>
      </c>
      <c r="F11" s="187">
        <v>25000000</v>
      </c>
      <c r="G11" s="187">
        <v>25000000</v>
      </c>
      <c r="H11" s="56">
        <v>36901</v>
      </c>
      <c r="I11" s="56">
        <f t="shared" si="0"/>
        <v>36936</v>
      </c>
      <c r="J11" s="285">
        <v>25000000</v>
      </c>
      <c r="K11" s="56">
        <f>H11+120</f>
        <v>37021</v>
      </c>
      <c r="L11" s="196">
        <v>0</v>
      </c>
      <c r="M11" s="196">
        <f t="shared" si="2"/>
        <v>25000000</v>
      </c>
      <c r="N11" s="88">
        <v>36992</v>
      </c>
    </row>
    <row r="12" spans="1:20" s="86" customFormat="1">
      <c r="A12" s="43">
        <v>2982</v>
      </c>
      <c r="B12" s="43" t="s">
        <v>307</v>
      </c>
      <c r="C12" s="43" t="s">
        <v>129</v>
      </c>
      <c r="D12" s="43" t="s">
        <v>299</v>
      </c>
      <c r="E12" s="43" t="s">
        <v>130</v>
      </c>
      <c r="F12" s="187">
        <v>25000000</v>
      </c>
      <c r="G12" s="187">
        <v>25000000</v>
      </c>
      <c r="H12" s="56">
        <v>36901</v>
      </c>
      <c r="I12" s="56">
        <f t="shared" si="0"/>
        <v>36936</v>
      </c>
      <c r="J12" s="285">
        <v>0</v>
      </c>
      <c r="K12" s="56">
        <f>H12+120</f>
        <v>37021</v>
      </c>
      <c r="L12" s="196">
        <v>0</v>
      </c>
      <c r="M12" s="196">
        <f t="shared" si="2"/>
        <v>25000000</v>
      </c>
      <c r="N12" s="88">
        <v>36932</v>
      </c>
    </row>
    <row r="13" spans="1:20" s="86" customFormat="1">
      <c r="A13" s="43">
        <v>2988</v>
      </c>
      <c r="B13" s="43" t="s">
        <v>395</v>
      </c>
      <c r="C13" s="43" t="s">
        <v>125</v>
      </c>
      <c r="D13" s="43" t="s">
        <v>297</v>
      </c>
      <c r="E13" s="43" t="s">
        <v>116</v>
      </c>
      <c r="F13" s="187">
        <v>25000000</v>
      </c>
      <c r="G13" s="187">
        <v>25000000</v>
      </c>
      <c r="H13" s="56">
        <v>36909</v>
      </c>
      <c r="I13" s="56">
        <f t="shared" si="0"/>
        <v>36944</v>
      </c>
      <c r="J13" s="285">
        <v>25000000</v>
      </c>
      <c r="K13" s="56">
        <f t="shared" si="1"/>
        <v>37029</v>
      </c>
      <c r="L13" s="196">
        <v>25000000</v>
      </c>
      <c r="M13" s="196">
        <f t="shared" si="2"/>
        <v>0</v>
      </c>
      <c r="N13" s="88">
        <v>37022</v>
      </c>
      <c r="P13" s="308"/>
    </row>
    <row r="14" spans="1:20" s="86" customFormat="1">
      <c r="A14" s="43">
        <v>2989</v>
      </c>
      <c r="B14" s="43" t="s">
        <v>307</v>
      </c>
      <c r="C14" s="43" t="s">
        <v>287</v>
      </c>
      <c r="D14" s="43" t="s">
        <v>292</v>
      </c>
      <c r="E14" s="43" t="s">
        <v>396</v>
      </c>
      <c r="F14" s="187">
        <v>14700000</v>
      </c>
      <c r="G14" s="187">
        <v>14700000</v>
      </c>
      <c r="H14" s="56">
        <v>36909</v>
      </c>
      <c r="I14" s="56">
        <f t="shared" si="0"/>
        <v>36944</v>
      </c>
      <c r="J14" s="187">
        <v>14700000</v>
      </c>
      <c r="K14" s="56">
        <f t="shared" si="1"/>
        <v>37029</v>
      </c>
      <c r="L14" s="196">
        <v>0</v>
      </c>
      <c r="M14" s="196">
        <f t="shared" si="2"/>
        <v>14700000</v>
      </c>
      <c r="N14" s="88">
        <v>37014</v>
      </c>
    </row>
    <row r="15" spans="1:20" s="86" customFormat="1">
      <c r="A15" s="43">
        <v>2990</v>
      </c>
      <c r="B15" s="43" t="s">
        <v>368</v>
      </c>
      <c r="C15" s="43" t="s">
        <v>125</v>
      </c>
      <c r="D15" s="43" t="s">
        <v>302</v>
      </c>
      <c r="E15" s="43" t="s">
        <v>295</v>
      </c>
      <c r="F15" s="187">
        <v>10000000</v>
      </c>
      <c r="G15" s="187">
        <v>10000000</v>
      </c>
      <c r="H15" s="56">
        <v>36909</v>
      </c>
      <c r="I15" s="56">
        <f t="shared" si="0"/>
        <v>36944</v>
      </c>
      <c r="J15" s="285">
        <v>10000000</v>
      </c>
      <c r="K15" s="56">
        <f t="shared" si="1"/>
        <v>37029</v>
      </c>
      <c r="L15" s="196">
        <v>0</v>
      </c>
      <c r="M15" s="196">
        <f t="shared" si="2"/>
        <v>10000000</v>
      </c>
      <c r="N15" s="88">
        <v>37147</v>
      </c>
      <c r="P15" s="308"/>
    </row>
    <row r="16" spans="1:20" s="86" customFormat="1">
      <c r="A16" s="43">
        <v>2998</v>
      </c>
      <c r="B16" s="43" t="s">
        <v>395</v>
      </c>
      <c r="C16" s="43" t="s">
        <v>125</v>
      </c>
      <c r="D16" s="43" t="s">
        <v>291</v>
      </c>
      <c r="E16" s="43" t="s">
        <v>113</v>
      </c>
      <c r="F16" s="187">
        <v>25000000</v>
      </c>
      <c r="G16" s="187">
        <v>25000000</v>
      </c>
      <c r="H16" s="56">
        <v>36916</v>
      </c>
      <c r="I16" s="56">
        <f t="shared" si="0"/>
        <v>36951</v>
      </c>
      <c r="J16" s="285">
        <v>25000000</v>
      </c>
      <c r="K16" s="56">
        <f t="shared" si="1"/>
        <v>37036</v>
      </c>
      <c r="L16" s="196">
        <v>19000000</v>
      </c>
      <c r="M16" s="196">
        <f t="shared" si="2"/>
        <v>6000000</v>
      </c>
      <c r="N16" s="88">
        <v>37015</v>
      </c>
      <c r="P16" s="308"/>
    </row>
    <row r="17" spans="1:17" s="86" customFormat="1">
      <c r="A17" s="43">
        <v>2999</v>
      </c>
      <c r="B17" s="43" t="s">
        <v>368</v>
      </c>
      <c r="C17" s="43" t="s">
        <v>126</v>
      </c>
      <c r="D17" s="43" t="s">
        <v>298</v>
      </c>
      <c r="E17" s="43" t="s">
        <v>113</v>
      </c>
      <c r="F17" s="187">
        <v>20000000</v>
      </c>
      <c r="G17" s="187">
        <v>20000000</v>
      </c>
      <c r="H17" s="56">
        <v>36916</v>
      </c>
      <c r="I17" s="56">
        <f t="shared" si="0"/>
        <v>36951</v>
      </c>
      <c r="J17" s="285">
        <v>0</v>
      </c>
      <c r="K17" s="56">
        <f t="shared" si="1"/>
        <v>37036</v>
      </c>
      <c r="L17" s="196">
        <v>0</v>
      </c>
      <c r="M17" s="196">
        <f t="shared" si="2"/>
        <v>20000000</v>
      </c>
      <c r="N17" s="88">
        <v>36991</v>
      </c>
      <c r="P17" s="308"/>
    </row>
    <row r="18" spans="1:17" s="86" customFormat="1">
      <c r="A18" s="43">
        <v>3000</v>
      </c>
      <c r="B18" s="43" t="s">
        <v>395</v>
      </c>
      <c r="C18" s="43" t="s">
        <v>132</v>
      </c>
      <c r="D18" s="43" t="s">
        <v>303</v>
      </c>
      <c r="E18" s="43" t="s">
        <v>133</v>
      </c>
      <c r="F18" s="187">
        <v>25000000</v>
      </c>
      <c r="G18" s="187">
        <v>25000000</v>
      </c>
      <c r="H18" s="56">
        <v>36916</v>
      </c>
      <c r="I18" s="56">
        <f t="shared" si="0"/>
        <v>36951</v>
      </c>
      <c r="J18" s="285">
        <v>25000000</v>
      </c>
      <c r="K18" s="56">
        <f t="shared" si="1"/>
        <v>37036</v>
      </c>
      <c r="L18" s="196">
        <v>25000000</v>
      </c>
      <c r="M18" s="196">
        <v>0</v>
      </c>
      <c r="N18" s="88">
        <v>37044</v>
      </c>
      <c r="P18" s="308"/>
    </row>
    <row r="19" spans="1:17" s="86" customFormat="1">
      <c r="A19" s="43">
        <v>3007</v>
      </c>
      <c r="B19" s="43" t="s">
        <v>307</v>
      </c>
      <c r="C19" s="43" t="s">
        <v>287</v>
      </c>
      <c r="D19" s="43" t="s">
        <v>288</v>
      </c>
      <c r="E19" s="43" t="s">
        <v>305</v>
      </c>
      <c r="F19" s="187">
        <v>1700000</v>
      </c>
      <c r="G19" s="187">
        <v>1700000</v>
      </c>
      <c r="H19" s="56">
        <v>36921</v>
      </c>
      <c r="I19" s="56">
        <f t="shared" si="0"/>
        <v>36956</v>
      </c>
      <c r="J19" s="187">
        <v>1700000</v>
      </c>
      <c r="K19" s="56">
        <f t="shared" si="1"/>
        <v>37041</v>
      </c>
      <c r="L19" s="196">
        <v>0</v>
      </c>
      <c r="M19" s="196">
        <f>SUM(G19-L19)</f>
        <v>1700000</v>
      </c>
      <c r="N19" s="88">
        <v>37014</v>
      </c>
    </row>
    <row r="20" spans="1:17" s="86" customFormat="1">
      <c r="A20" s="43">
        <v>3008</v>
      </c>
      <c r="B20" s="43" t="s">
        <v>307</v>
      </c>
      <c r="C20" s="43" t="s">
        <v>294</v>
      </c>
      <c r="D20" s="43" t="s">
        <v>301</v>
      </c>
      <c r="E20" s="43" t="s">
        <v>161</v>
      </c>
      <c r="F20" s="187">
        <v>25000000</v>
      </c>
      <c r="G20" s="187">
        <v>25000000</v>
      </c>
      <c r="H20" s="56">
        <v>36921</v>
      </c>
      <c r="I20" s="56">
        <f t="shared" si="0"/>
        <v>36956</v>
      </c>
      <c r="J20" s="285">
        <v>25000000</v>
      </c>
      <c r="K20" s="56">
        <f t="shared" si="1"/>
        <v>37041</v>
      </c>
      <c r="L20" s="196">
        <v>0</v>
      </c>
      <c r="M20" s="196">
        <f>SUM(G20-L20)</f>
        <v>25000000</v>
      </c>
      <c r="N20" s="88">
        <v>36991</v>
      </c>
      <c r="Q20" s="190"/>
    </row>
    <row r="21" spans="1:17" s="86" customFormat="1">
      <c r="A21" s="43">
        <v>3034</v>
      </c>
      <c r="B21" s="43" t="s">
        <v>395</v>
      </c>
      <c r="C21" s="43" t="s">
        <v>445</v>
      </c>
      <c r="D21" s="43" t="s">
        <v>448</v>
      </c>
      <c r="E21" s="43" t="s">
        <v>447</v>
      </c>
      <c r="F21" s="187">
        <v>2950000</v>
      </c>
      <c r="G21" s="187">
        <v>2950000</v>
      </c>
      <c r="H21" s="56">
        <v>37008</v>
      </c>
      <c r="I21" s="56">
        <f t="shared" si="0"/>
        <v>37043</v>
      </c>
      <c r="J21" s="285">
        <v>2950000</v>
      </c>
      <c r="K21" s="56">
        <f t="shared" si="1"/>
        <v>37128</v>
      </c>
      <c r="L21" s="285">
        <v>2950000</v>
      </c>
      <c r="M21" s="196">
        <v>0</v>
      </c>
      <c r="N21" s="88">
        <v>37077</v>
      </c>
      <c r="P21" s="190"/>
    </row>
    <row r="22" spans="1:17" s="86" customFormat="1">
      <c r="A22" s="43">
        <v>3028</v>
      </c>
      <c r="B22" s="43" t="s">
        <v>395</v>
      </c>
      <c r="C22" s="43" t="s">
        <v>445</v>
      </c>
      <c r="D22" s="43" t="s">
        <v>446</v>
      </c>
      <c r="E22" s="43" t="s">
        <v>447</v>
      </c>
      <c r="F22" s="187">
        <v>2100000</v>
      </c>
      <c r="G22" s="187">
        <v>2100000</v>
      </c>
      <c r="H22" s="56">
        <v>36985</v>
      </c>
      <c r="I22" s="56">
        <f t="shared" si="0"/>
        <v>37020</v>
      </c>
      <c r="J22" s="285">
        <v>2100000</v>
      </c>
      <c r="K22" s="56">
        <f>H22+120</f>
        <v>37105</v>
      </c>
      <c r="L22" s="285">
        <v>2100000</v>
      </c>
      <c r="M22" s="196">
        <v>0</v>
      </c>
      <c r="N22" s="88">
        <v>37077</v>
      </c>
      <c r="P22" s="190"/>
    </row>
    <row r="23" spans="1:17" s="86" customFormat="1">
      <c r="A23" s="43">
        <v>3037</v>
      </c>
      <c r="B23" s="43" t="s">
        <v>307</v>
      </c>
      <c r="C23" s="43" t="s">
        <v>287</v>
      </c>
      <c r="D23" s="43" t="s">
        <v>292</v>
      </c>
      <c r="E23" s="43" t="s">
        <v>396</v>
      </c>
      <c r="F23" s="187">
        <v>14700000</v>
      </c>
      <c r="G23" s="187">
        <v>14700000</v>
      </c>
      <c r="H23" s="56">
        <v>37014</v>
      </c>
      <c r="I23" s="56">
        <f t="shared" si="0"/>
        <v>37049</v>
      </c>
      <c r="J23" s="187">
        <v>14700000</v>
      </c>
      <c r="K23" s="56">
        <f>H23+120</f>
        <v>37134</v>
      </c>
      <c r="L23" s="196">
        <v>0</v>
      </c>
      <c r="M23" s="196">
        <f>SUM(G23-L23)</f>
        <v>14700000</v>
      </c>
      <c r="N23" s="88">
        <v>37132</v>
      </c>
      <c r="P23" s="190"/>
    </row>
    <row r="24" spans="1:17" s="86" customFormat="1">
      <c r="A24" s="43">
        <v>3038</v>
      </c>
      <c r="B24" s="43" t="s">
        <v>307</v>
      </c>
      <c r="C24" s="43" t="s">
        <v>287</v>
      </c>
      <c r="D24" s="43" t="s">
        <v>288</v>
      </c>
      <c r="E24" s="43" t="s">
        <v>379</v>
      </c>
      <c r="F24" s="187">
        <v>1700000</v>
      </c>
      <c r="G24" s="187">
        <v>1700000</v>
      </c>
      <c r="H24" s="56">
        <v>37014</v>
      </c>
      <c r="I24" s="56">
        <f t="shared" si="0"/>
        <v>37049</v>
      </c>
      <c r="J24" s="187">
        <v>1700000</v>
      </c>
      <c r="K24" s="56">
        <f>H24+120</f>
        <v>37134</v>
      </c>
      <c r="L24" s="196">
        <v>0</v>
      </c>
      <c r="M24" s="196">
        <f>SUM(G24-L24)</f>
        <v>1700000</v>
      </c>
      <c r="N24" s="88">
        <v>37132</v>
      </c>
      <c r="P24" s="190"/>
    </row>
    <row r="25" spans="1:17" s="86" customFormat="1">
      <c r="A25" s="43">
        <v>3039</v>
      </c>
      <c r="B25" s="43" t="s">
        <v>307</v>
      </c>
      <c r="C25" s="43" t="s">
        <v>287</v>
      </c>
      <c r="D25" s="43" t="s">
        <v>289</v>
      </c>
      <c r="E25" s="43" t="s">
        <v>379</v>
      </c>
      <c r="F25" s="187">
        <v>9800000</v>
      </c>
      <c r="G25" s="187">
        <v>9800000</v>
      </c>
      <c r="H25" s="56">
        <v>37014</v>
      </c>
      <c r="I25" s="56">
        <f t="shared" si="0"/>
        <v>37049</v>
      </c>
      <c r="J25" s="187">
        <v>9800000</v>
      </c>
      <c r="K25" s="56">
        <f>H25+120</f>
        <v>37134</v>
      </c>
      <c r="L25" s="196">
        <v>0</v>
      </c>
      <c r="M25" s="196">
        <f>SUM(G25-L25)</f>
        <v>9800000</v>
      </c>
      <c r="N25" s="88">
        <v>37132</v>
      </c>
      <c r="P25" s="190"/>
    </row>
    <row r="26" spans="1:17" s="86" customFormat="1">
      <c r="A26" s="86">
        <v>3043</v>
      </c>
      <c r="B26" s="86" t="s">
        <v>395</v>
      </c>
      <c r="C26" s="86" t="s">
        <v>500</v>
      </c>
      <c r="D26" s="86" t="s">
        <v>501</v>
      </c>
      <c r="E26" s="86" t="s">
        <v>502</v>
      </c>
      <c r="F26" s="196">
        <v>3500000</v>
      </c>
      <c r="G26" s="197">
        <v>3500000</v>
      </c>
      <c r="H26" s="56">
        <v>37044</v>
      </c>
      <c r="I26" s="56">
        <f t="shared" si="0"/>
        <v>37079</v>
      </c>
      <c r="J26" s="285">
        <v>3500000</v>
      </c>
      <c r="K26" s="56">
        <f>H26+120</f>
        <v>37164</v>
      </c>
      <c r="L26" s="196">
        <v>2500000</v>
      </c>
      <c r="M26" s="196">
        <f>SUM(G26-L26)</f>
        <v>1000000</v>
      </c>
      <c r="N26" s="88">
        <v>37175</v>
      </c>
      <c r="P26" s="190"/>
    </row>
    <row r="27" spans="1:17" s="86" customFormat="1">
      <c r="A27" s="43"/>
      <c r="B27" s="43"/>
      <c r="C27" s="43"/>
      <c r="D27" s="43"/>
      <c r="E27" s="43"/>
      <c r="F27" s="187"/>
      <c r="G27" s="187"/>
      <c r="H27" s="45"/>
      <c r="I27" s="90"/>
      <c r="J27" s="58"/>
      <c r="K27" s="90"/>
      <c r="L27" s="187"/>
      <c r="M27" s="187"/>
      <c r="N27" s="43"/>
    </row>
    <row r="28" spans="1:17" s="86" customFormat="1">
      <c r="A28" s="43"/>
      <c r="B28" s="43"/>
      <c r="C28" s="47" t="s">
        <v>10</v>
      </c>
      <c r="D28" s="47"/>
      <c r="E28" s="47"/>
      <c r="F28" s="198">
        <f>SUM(F7:F27)</f>
        <v>315950000</v>
      </c>
      <c r="G28" s="198">
        <f>SUM(G7:G27)</f>
        <v>315950000</v>
      </c>
      <c r="H28" s="43"/>
      <c r="I28" s="43"/>
      <c r="J28" s="91">
        <f>SUM(J7:J27)</f>
        <v>245950000</v>
      </c>
      <c r="K28" s="43"/>
      <c r="L28" s="198">
        <f>SUM(L7:L27)</f>
        <v>126550000</v>
      </c>
      <c r="M28" s="198">
        <f>SUM(M7:M27)</f>
        <v>189400000</v>
      </c>
      <c r="N28" s="199"/>
    </row>
    <row r="29" spans="1:17" s="86" customFormat="1">
      <c r="A29" s="43"/>
      <c r="B29" s="43"/>
      <c r="C29" s="47"/>
      <c r="D29" s="47"/>
      <c r="E29" s="47"/>
      <c r="F29" s="187"/>
      <c r="G29" s="187"/>
      <c r="H29" s="43"/>
      <c r="I29" s="43"/>
      <c r="J29" s="58"/>
      <c r="K29" s="43"/>
      <c r="L29" s="43"/>
      <c r="M29" s="43"/>
      <c r="N29" s="43"/>
    </row>
    <row r="30" spans="1:17" s="86" customFormat="1">
      <c r="A30" s="43"/>
      <c r="B30" s="43"/>
      <c r="C30" s="47" t="s">
        <v>76</v>
      </c>
      <c r="D30" s="47"/>
      <c r="E30" s="47"/>
      <c r="F30" s="159">
        <f>SUM(F28-G28)</f>
        <v>0</v>
      </c>
      <c r="G30" s="187"/>
      <c r="H30" s="43"/>
      <c r="I30" s="43"/>
      <c r="J30" s="58"/>
      <c r="K30" s="43"/>
      <c r="L30" s="43"/>
      <c r="M30" s="43"/>
      <c r="N30" s="43"/>
    </row>
    <row r="31" spans="1:17" s="86" customFormat="1">
      <c r="A31" s="43"/>
      <c r="B31" s="43"/>
      <c r="C31" s="47"/>
      <c r="D31" s="47"/>
      <c r="E31" s="47"/>
      <c r="F31" s="187"/>
      <c r="G31" s="187"/>
      <c r="H31" s="43"/>
      <c r="I31" s="43"/>
      <c r="J31" s="58"/>
      <c r="K31" s="43"/>
      <c r="L31" s="43"/>
      <c r="M31" s="43"/>
      <c r="N31" s="43"/>
    </row>
    <row r="32" spans="1:17" s="86" customFormat="1">
      <c r="A32" s="43"/>
      <c r="B32" s="43"/>
      <c r="C32" s="47" t="s">
        <v>16</v>
      </c>
      <c r="D32" s="47"/>
      <c r="E32" s="47"/>
      <c r="F32" s="168">
        <f>C1-G28+M28</f>
        <v>404214518</v>
      </c>
      <c r="G32" s="187"/>
      <c r="H32" s="94"/>
      <c r="I32" s="43"/>
      <c r="J32" s="58"/>
      <c r="K32" s="43"/>
      <c r="L32" s="187"/>
      <c r="M32" s="43"/>
      <c r="N32" s="43"/>
    </row>
    <row r="33" spans="1:14" s="86" customFormat="1">
      <c r="A33" s="43"/>
      <c r="B33" s="232"/>
      <c r="C33" s="43"/>
      <c r="D33" s="43"/>
      <c r="E33" s="43"/>
      <c r="F33" s="58"/>
      <c r="G33" s="43"/>
      <c r="H33" s="43"/>
      <c r="I33" s="95"/>
      <c r="J33" s="58"/>
      <c r="K33" s="43"/>
      <c r="L33" s="43"/>
      <c r="M33" s="43"/>
      <c r="N33" s="43"/>
    </row>
    <row r="34" spans="1:14" s="86" customFormat="1">
      <c r="B34" s="231"/>
      <c r="F34" s="87"/>
      <c r="J34" s="87"/>
    </row>
    <row r="35" spans="1:14">
      <c r="B35" s="232"/>
      <c r="F35" s="201"/>
      <c r="G35" s="199"/>
    </row>
    <row r="36" spans="1:14">
      <c r="B36" s="232"/>
      <c r="G36" s="187"/>
    </row>
    <row r="37" spans="1:14">
      <c r="F37" s="201"/>
    </row>
    <row r="39" spans="1:14">
      <c r="F39" s="328"/>
    </row>
  </sheetData>
  <phoneticPr fontId="0" type="noConversion"/>
  <pageMargins left="0.75" right="0.75" top="1" bottom="1" header="0.5" footer="0.5"/>
  <pageSetup scale="59" fitToHeight="3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10</vt:i4>
      </vt:variant>
    </vt:vector>
  </HeadingPairs>
  <TitlesOfParts>
    <vt:vector size="33" baseType="lpstr">
      <vt:lpstr>Totals</vt:lpstr>
      <vt:lpstr>Collapse</vt:lpstr>
      <vt:lpstr>LHFC June 1st</vt:lpstr>
      <vt:lpstr>2002 CF</vt:lpstr>
      <vt:lpstr>2003 CF</vt:lpstr>
      <vt:lpstr>2004 CF</vt:lpstr>
      <vt:lpstr>2005 CF</vt:lpstr>
      <vt:lpstr>Bond Buyer</vt:lpstr>
      <vt:lpstr>SC1 MRB</vt:lpstr>
      <vt:lpstr>SC2 State Voted</vt:lpstr>
      <vt:lpstr>SC3 Small Issue IDBs</vt:lpstr>
      <vt:lpstr>SC4 TSAHC</vt:lpstr>
      <vt:lpstr>SC4 MF- TDHCA</vt:lpstr>
      <vt:lpstr>REGION 1</vt:lpstr>
      <vt:lpstr>REGION 3</vt:lpstr>
      <vt:lpstr>REGION 6</vt:lpstr>
      <vt:lpstr>REGION 7</vt:lpstr>
      <vt:lpstr>REGION 9</vt:lpstr>
      <vt:lpstr>REGION 10</vt:lpstr>
      <vt:lpstr>REGION 11</vt:lpstr>
      <vt:lpstr>REGION 13</vt:lpstr>
      <vt:lpstr>SC5 Student Loans</vt:lpstr>
      <vt:lpstr>SC6 OTHER</vt:lpstr>
      <vt:lpstr>Collapse!Print_Area</vt:lpstr>
      <vt:lpstr>'SC2 State Voted'!Print_Area</vt:lpstr>
      <vt:lpstr>'SC3 Small Issue IDBs'!Print_Area</vt:lpstr>
      <vt:lpstr>'SC4 MF- TDHCA'!Print_Area</vt:lpstr>
      <vt:lpstr>'SC5 Student Loans'!Print_Area</vt:lpstr>
      <vt:lpstr>Totals!Print_Area</vt:lpstr>
      <vt:lpstr>'SC2 State Voted'!Print_Titles</vt:lpstr>
      <vt:lpstr>'SC3 Small Issue IDBs'!Print_Titles</vt:lpstr>
      <vt:lpstr>'SC4 MF- TDHCA'!Print_Titles</vt:lpstr>
      <vt:lpstr>'SC5 Student Loans'!Print_Titles</vt:lpstr>
    </vt:vector>
  </TitlesOfParts>
  <Company>Texas Bond Review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Texas Bond Review Board</dc:creator>
  <cp:lastModifiedBy>Jamie Backiel</cp:lastModifiedBy>
  <cp:lastPrinted>2006-11-13T23:54:09Z</cp:lastPrinted>
  <dcterms:created xsi:type="dcterms:W3CDTF">1998-10-28T19:13:07Z</dcterms:created>
  <dcterms:modified xsi:type="dcterms:W3CDTF">2022-08-24T19:32:14Z</dcterms:modified>
</cp:coreProperties>
</file>