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AB\2020 PAB\"/>
    </mc:Choice>
  </mc:AlternateContent>
  <xr:revisionPtr revIDLastSave="0" documentId="13_ncr:1_{D207830B-9902-4B8F-A795-905969CAFE85}" xr6:coauthVersionLast="47" xr6:coauthVersionMax="47" xr10:uidLastSave="{00000000-0000-0000-0000-000000000000}"/>
  <bookViews>
    <workbookView xWindow="28680" yWindow="-120" windowWidth="29040" windowHeight="15840" tabRatio="806" xr2:uid="{00000000-000D-0000-FFFF-FFFF00000000}"/>
  </bookViews>
  <sheets>
    <sheet name="Totals" sheetId="5" r:id="rId1"/>
    <sheet name="2020 CF" sheetId="101" r:id="rId2"/>
    <sheet name="Aug 15" sheetId="104" r:id="rId3"/>
    <sheet name="SC1 MRB" sheetId="14" r:id="rId4"/>
    <sheet name="SC2 State Voted" sheetId="4" r:id="rId5"/>
    <sheet name="SC3 Small Issue IDBs" sheetId="6" r:id="rId6"/>
    <sheet name="SC4 TSAHC" sheetId="30" r:id="rId7"/>
    <sheet name="SC4 MF- TDHCA" sheetId="7" r:id="rId8"/>
    <sheet name="SC4 MF- Local Collapse" sheetId="86" r:id="rId9"/>
    <sheet name="REGION 1" sheetId="74" r:id="rId10"/>
    <sheet name="REGION 2" sheetId="73" r:id="rId11"/>
    <sheet name="REGION 3" sheetId="12" r:id="rId12"/>
    <sheet name="REGION 4" sheetId="75" r:id="rId13"/>
    <sheet name="REGION 5" sheetId="44" r:id="rId14"/>
    <sheet name="REGION 6" sheetId="18" r:id="rId15"/>
    <sheet name="REGION 7" sheetId="19" r:id="rId16"/>
    <sheet name="REGION 8" sheetId="78" r:id="rId17"/>
    <sheet name="REGION 9" sheetId="21" r:id="rId18"/>
    <sheet name="REGION 10" sheetId="22" r:id="rId19"/>
    <sheet name="REGION 11" sheetId="77" r:id="rId20"/>
    <sheet name="REGION 12" sheetId="76" r:id="rId21"/>
    <sheet name="REGION 13" sheetId="27" r:id="rId22"/>
    <sheet name="SC5 OTHER" sheetId="24" r:id="rId23"/>
    <sheet name="2017 CF" sheetId="97" r:id="rId24"/>
    <sheet name="2018 CF" sheetId="99" r:id="rId25"/>
    <sheet name="2019 CF" sheetId="100" r:id="rId26"/>
    <sheet name="Bond Buyer" sheetId="93" r:id="rId27"/>
  </sheets>
  <externalReferences>
    <externalReference r:id="rId28"/>
  </externalReferences>
  <definedNames>
    <definedName name="_xlnm._FilterDatabase" localSheetId="25" hidden="1">'2019 CF'!$A$43:$T$63</definedName>
    <definedName name="_xlnm._FilterDatabase" localSheetId="22" hidden="1">'SC5 OTHER'!$A$6:$T$74</definedName>
    <definedName name="_xlnm.Print_Area" localSheetId="9">'REGION 1'!$A$1:$N$13</definedName>
    <definedName name="_xlnm.Print_Area" localSheetId="10">'REGION 2'!$A$1:$N$12</definedName>
    <definedName name="_xlnm.Print_Area" localSheetId="11">'REGION 3'!$A$1:$N$18</definedName>
    <definedName name="_xlnm.Print_Area" localSheetId="14">'REGION 6'!$A$1:$N$20</definedName>
    <definedName name="_xlnm.Print_Area" localSheetId="3">'SC1 MRB'!$A$1:$P$38</definedName>
    <definedName name="_xlnm.Print_Area" localSheetId="4">'SC2 State Voted'!$A$1:$N$23</definedName>
    <definedName name="_xlnm.Print_Area" localSheetId="5">'SC3 Small Issue IDBs'!$A$1:$N$27</definedName>
    <definedName name="_xlnm.Print_Area" localSheetId="7">'SC4 MF- TDHCA'!$A$1:$N$39</definedName>
    <definedName name="_xlnm.Print_Area" localSheetId="22">'SC5 OTHER'!$A$1:$N$82</definedName>
    <definedName name="_xlnm.Print_Area" localSheetId="0">Totals!$A$1:$I$29</definedName>
    <definedName name="_xlnm.Print_Titles" localSheetId="4">'SC2 State Voted'!$1:$7</definedName>
    <definedName name="_xlnm.Print_Titles" localSheetId="5">'SC3 Small Issue IDBs'!$1:$6</definedName>
    <definedName name="_xlnm.Print_Titles" localSheetId="7">'SC4 MF- TDHCA'!$1:$6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7" i="101" l="1"/>
  <c r="M8" i="101"/>
  <c r="M6" i="101"/>
  <c r="J7" i="101"/>
  <c r="J8" i="101"/>
  <c r="J6" i="101"/>
  <c r="O35" i="100"/>
  <c r="O37" i="100" s="1"/>
  <c r="O31" i="100"/>
  <c r="P31" i="100" s="1"/>
  <c r="H26" i="5"/>
  <c r="B52" i="93"/>
  <c r="B55" i="93" s="1"/>
  <c r="B5" i="93"/>
  <c r="B4" i="93"/>
  <c r="O32" i="100" l="1"/>
  <c r="P32" i="100" s="1"/>
  <c r="M40" i="100"/>
  <c r="M42" i="100"/>
  <c r="M76" i="100"/>
  <c r="L40" i="100"/>
  <c r="L31" i="99"/>
  <c r="B9" i="93" l="1"/>
  <c r="B103" i="93"/>
  <c r="B95" i="93"/>
  <c r="B100" i="93"/>
  <c r="B101" i="93"/>
  <c r="B99" i="93"/>
  <c r="B98" i="93"/>
  <c r="D53" i="93"/>
  <c r="B62" i="93"/>
  <c r="L87" i="101"/>
  <c r="C52" i="93"/>
  <c r="J32" i="97"/>
  <c r="L79" i="24"/>
  <c r="M65" i="100"/>
  <c r="M18" i="100"/>
  <c r="M51" i="99"/>
  <c r="M48" i="99"/>
  <c r="M31" i="99"/>
  <c r="M14" i="99"/>
  <c r="M32" i="97"/>
  <c r="M12" i="97"/>
  <c r="L32" i="100" l="1"/>
  <c r="M54" i="101" l="1"/>
  <c r="K54" i="101"/>
  <c r="I54" i="101"/>
  <c r="B14" i="93" l="1"/>
  <c r="B20" i="93"/>
  <c r="O17" i="104" l="1"/>
  <c r="O27" i="104"/>
  <c r="J76" i="101" l="1"/>
  <c r="M47" i="101"/>
  <c r="O9" i="104" l="1"/>
  <c r="L53" i="100"/>
  <c r="M64" i="24" l="1"/>
  <c r="O16" i="104"/>
  <c r="K47" i="101"/>
  <c r="I47" i="101"/>
  <c r="M63" i="101" l="1"/>
  <c r="K63" i="101"/>
  <c r="I63" i="101"/>
  <c r="O14" i="104" l="1"/>
  <c r="M52" i="101" l="1"/>
  <c r="K52" i="101"/>
  <c r="I52" i="101"/>
  <c r="M66" i="101" l="1"/>
  <c r="K66" i="101"/>
  <c r="I66" i="101"/>
  <c r="M51" i="101" l="1"/>
  <c r="M53" i="101"/>
  <c r="M55" i="101"/>
  <c r="M56" i="101"/>
  <c r="M57" i="101"/>
  <c r="M58" i="101"/>
  <c r="M59" i="101"/>
  <c r="M60" i="101"/>
  <c r="K59" i="101"/>
  <c r="I59" i="101"/>
  <c r="K57" i="101"/>
  <c r="I57" i="101"/>
  <c r="K53" i="101"/>
  <c r="I53" i="101"/>
  <c r="K56" i="101" l="1"/>
  <c r="I56" i="101"/>
  <c r="M35" i="101"/>
  <c r="K35" i="101"/>
  <c r="I35" i="101"/>
  <c r="L81" i="101" l="1"/>
  <c r="J81" i="101"/>
  <c r="M79" i="101"/>
  <c r="M81" i="101" s="1"/>
  <c r="K79" i="101"/>
  <c r="I79" i="101"/>
  <c r="M57" i="24" l="1"/>
  <c r="M55" i="24" l="1"/>
  <c r="M72" i="101" l="1"/>
  <c r="K72" i="101"/>
  <c r="I72" i="101"/>
  <c r="M70" i="101"/>
  <c r="K70" i="101"/>
  <c r="I70" i="101"/>
  <c r="M73" i="101"/>
  <c r="K73" i="101"/>
  <c r="I73" i="101"/>
  <c r="M74" i="101" l="1"/>
  <c r="K74" i="101"/>
  <c r="I74" i="101"/>
  <c r="J41" i="101"/>
  <c r="L41" i="101"/>
  <c r="M39" i="101"/>
  <c r="K39" i="101"/>
  <c r="I39" i="101"/>
  <c r="M38" i="101"/>
  <c r="K38" i="101"/>
  <c r="I38" i="101"/>
  <c r="M37" i="101"/>
  <c r="K37" i="101"/>
  <c r="I37" i="101"/>
  <c r="M36" i="101"/>
  <c r="M41" i="101" s="1"/>
  <c r="K36" i="101"/>
  <c r="I36" i="101"/>
  <c r="M34" i="101"/>
  <c r="K34" i="101"/>
  <c r="I34" i="101"/>
  <c r="M69" i="101" l="1"/>
  <c r="K69" i="101"/>
  <c r="I69" i="101"/>
  <c r="M62" i="101" l="1"/>
  <c r="K62" i="101"/>
  <c r="I62" i="101"/>
  <c r="M46" i="101"/>
  <c r="M48" i="101"/>
  <c r="M49" i="101"/>
  <c r="M50" i="101"/>
  <c r="M61" i="101"/>
  <c r="M64" i="101"/>
  <c r="M65" i="101"/>
  <c r="M67" i="101"/>
  <c r="M68" i="101"/>
  <c r="M71" i="101"/>
  <c r="K68" i="101"/>
  <c r="I68" i="101"/>
  <c r="K61" i="101"/>
  <c r="I61" i="101"/>
  <c r="K58" i="101"/>
  <c r="I58" i="101"/>
  <c r="K67" i="101"/>
  <c r="I67" i="101"/>
  <c r="K64" i="101"/>
  <c r="I64" i="101"/>
  <c r="K49" i="101"/>
  <c r="I49" i="101"/>
  <c r="K48" i="101"/>
  <c r="I48" i="101"/>
  <c r="K51" i="101"/>
  <c r="I51" i="101"/>
  <c r="K50" i="101"/>
  <c r="I50" i="101"/>
  <c r="K71" i="101"/>
  <c r="I71" i="101"/>
  <c r="K65" i="101" l="1"/>
  <c r="I65" i="101"/>
  <c r="K60" i="101"/>
  <c r="I60" i="101"/>
  <c r="M46" i="24"/>
  <c r="L76" i="101" l="1"/>
  <c r="M45" i="101"/>
  <c r="M76" i="101" s="1"/>
  <c r="K46" i="101"/>
  <c r="I46" i="101"/>
  <c r="K45" i="101" l="1"/>
  <c r="I45" i="101"/>
  <c r="K55" i="101" l="1"/>
  <c r="I55" i="101"/>
  <c r="M48" i="24" l="1"/>
  <c r="O19" i="104" l="1"/>
  <c r="B8" i="5" l="1"/>
  <c r="O12" i="104" l="1"/>
  <c r="M19" i="86" l="1"/>
  <c r="M43" i="104" l="1"/>
  <c r="K43" i="104"/>
  <c r="M44" i="24" l="1"/>
  <c r="L45" i="100" l="1"/>
  <c r="L48" i="99"/>
  <c r="L65" i="100" l="1"/>
  <c r="M10" i="24"/>
  <c r="B21" i="93"/>
  <c r="B22" i="93" l="1"/>
  <c r="B23" i="93"/>
  <c r="B25" i="93"/>
  <c r="D52" i="93" l="1"/>
  <c r="O47" i="104" l="1"/>
  <c r="L31" i="100"/>
  <c r="M12" i="30" l="1"/>
  <c r="M18" i="7" l="1"/>
  <c r="H25" i="5" l="1"/>
  <c r="K42" i="104" l="1"/>
  <c r="M42" i="104"/>
  <c r="O33" i="104" l="1"/>
  <c r="M41" i="104" l="1"/>
  <c r="K41" i="104"/>
  <c r="M60" i="24" l="1"/>
  <c r="O37" i="104" l="1"/>
  <c r="M63" i="24" l="1"/>
  <c r="M47" i="104" l="1"/>
  <c r="K47" i="104"/>
  <c r="K39" i="104"/>
  <c r="M39" i="104"/>
  <c r="M38" i="104" l="1"/>
  <c r="M37" i="104"/>
  <c r="K38" i="104"/>
  <c r="K37" i="104"/>
  <c r="F21" i="101"/>
  <c r="M41" i="24"/>
  <c r="O35" i="104"/>
  <c r="M11" i="30"/>
  <c r="L55" i="100"/>
  <c r="M18" i="86"/>
  <c r="O11" i="104"/>
  <c r="M29" i="104" l="1"/>
  <c r="M30" i="104"/>
  <c r="M31" i="104"/>
  <c r="M32" i="104"/>
  <c r="M33" i="104"/>
  <c r="M34" i="104"/>
  <c r="M35" i="104"/>
  <c r="M28" i="104"/>
  <c r="K29" i="104"/>
  <c r="K30" i="104"/>
  <c r="K31" i="104"/>
  <c r="K32" i="104"/>
  <c r="K33" i="104"/>
  <c r="K34" i="104"/>
  <c r="K35" i="104"/>
  <c r="K28" i="104"/>
  <c r="M42" i="24" l="1"/>
  <c r="O24" i="104" l="1"/>
  <c r="M54" i="24" l="1"/>
  <c r="M45" i="24"/>
  <c r="M14" i="7" l="1"/>
  <c r="M20" i="86" l="1"/>
  <c r="M16" i="86"/>
  <c r="M65" i="24"/>
  <c r="M63" i="100"/>
  <c r="M40" i="99"/>
  <c r="M27" i="104" l="1"/>
  <c r="K27" i="104"/>
  <c r="M58" i="24" l="1"/>
  <c r="M26" i="104" l="1"/>
  <c r="K26" i="104"/>
  <c r="M23" i="104" l="1"/>
  <c r="M24" i="104"/>
  <c r="M25" i="104"/>
  <c r="K23" i="104"/>
  <c r="K24" i="104"/>
  <c r="K25" i="104"/>
  <c r="K22" i="104"/>
  <c r="M22" i="104"/>
  <c r="O18" i="14" l="1"/>
  <c r="M11" i="7" l="1"/>
  <c r="K21" i="104" l="1"/>
  <c r="M21" i="104"/>
  <c r="M15" i="86"/>
  <c r="M11" i="86" l="1"/>
  <c r="M56" i="24"/>
  <c r="M59" i="24"/>
  <c r="K20" i="104" l="1"/>
  <c r="M20" i="104"/>
  <c r="M12" i="86" l="1"/>
  <c r="M7" i="74"/>
  <c r="M19" i="104" l="1"/>
  <c r="K19" i="104"/>
  <c r="K18" i="104"/>
  <c r="M18" i="104"/>
  <c r="M14" i="86"/>
  <c r="M8" i="86"/>
  <c r="M12" i="7"/>
  <c r="M13" i="86" l="1"/>
  <c r="M17" i="104" l="1"/>
  <c r="K17" i="104"/>
  <c r="K16" i="104"/>
  <c r="M16" i="104"/>
  <c r="M15" i="104" l="1"/>
  <c r="M14" i="104"/>
  <c r="M13" i="104"/>
  <c r="M12" i="104"/>
  <c r="M11" i="104"/>
  <c r="M10" i="104"/>
  <c r="M9" i="104"/>
  <c r="M8" i="104"/>
  <c r="M7" i="104"/>
  <c r="K13" i="104" l="1"/>
  <c r="K14" i="104"/>
  <c r="K15" i="104"/>
  <c r="K8" i="104"/>
  <c r="K9" i="104"/>
  <c r="K10" i="104"/>
  <c r="K11" i="104"/>
  <c r="K12" i="104"/>
  <c r="K7" i="104"/>
  <c r="I66" i="24" l="1"/>
  <c r="K66" i="24"/>
  <c r="K14" i="30"/>
  <c r="K15" i="30"/>
  <c r="K16" i="30"/>
  <c r="I14" i="30"/>
  <c r="I15" i="30"/>
  <c r="I16" i="30"/>
  <c r="I13" i="30"/>
  <c r="K13" i="30"/>
  <c r="M49" i="24" l="1"/>
  <c r="M7" i="86"/>
  <c r="M37" i="24" l="1"/>
  <c r="M12" i="18" l="1"/>
  <c r="M11" i="18"/>
  <c r="M10" i="18"/>
  <c r="M10" i="30" l="1"/>
  <c r="M9" i="30"/>
  <c r="O50" i="104" l="1"/>
  <c r="J18" i="5" s="1"/>
  <c r="N50" i="104"/>
  <c r="J16" i="5" s="1"/>
  <c r="L50" i="104"/>
  <c r="J14" i="5" s="1"/>
  <c r="I50" i="104"/>
  <c r="H50" i="104"/>
  <c r="F50" i="104"/>
  <c r="J10" i="5" s="1"/>
  <c r="M17" i="86"/>
  <c r="K15" i="14"/>
  <c r="M15" i="14"/>
  <c r="K16" i="14"/>
  <c r="M16" i="14"/>
  <c r="K17" i="14"/>
  <c r="M17" i="14"/>
  <c r="K18" i="14"/>
  <c r="M18" i="14"/>
  <c r="K14" i="14"/>
  <c r="M14" i="14"/>
  <c r="M38" i="24"/>
  <c r="J12" i="5" l="1"/>
  <c r="F52" i="104"/>
  <c r="J20" i="5" s="1"/>
  <c r="O12" i="14"/>
  <c r="M12" i="12"/>
  <c r="M11" i="12" l="1"/>
  <c r="I65" i="24"/>
  <c r="K65" i="24"/>
  <c r="K13" i="14"/>
  <c r="M13" i="14"/>
  <c r="I64" i="24"/>
  <c r="K64" i="24"/>
  <c r="M12" i="14" l="1"/>
  <c r="K12" i="14"/>
  <c r="M43" i="24" l="1"/>
  <c r="I63" i="24" l="1"/>
  <c r="K63" i="24"/>
  <c r="I21" i="86"/>
  <c r="K21" i="86"/>
  <c r="M10" i="7" l="1"/>
  <c r="O11" i="14"/>
  <c r="M15" i="7"/>
  <c r="M25" i="24" l="1"/>
  <c r="M40" i="24" l="1"/>
  <c r="M26" i="24" l="1"/>
  <c r="M14" i="24"/>
  <c r="M9" i="12"/>
  <c r="K60" i="24" l="1"/>
  <c r="K61" i="24"/>
  <c r="K62" i="24"/>
  <c r="K59" i="24"/>
  <c r="K58" i="24"/>
  <c r="M35" i="24" l="1"/>
  <c r="M34" i="24"/>
  <c r="I62" i="24"/>
  <c r="I61" i="24"/>
  <c r="I60" i="24"/>
  <c r="I59" i="24"/>
  <c r="I58" i="24"/>
  <c r="M50" i="24" l="1"/>
  <c r="M52" i="24"/>
  <c r="M53" i="24"/>
  <c r="M9" i="24" l="1"/>
  <c r="M32" i="24"/>
  <c r="M7" i="4"/>
  <c r="K20" i="86" l="1"/>
  <c r="I20" i="86"/>
  <c r="I19" i="86"/>
  <c r="K19" i="86"/>
  <c r="M39" i="24" l="1"/>
  <c r="L52" i="100" l="1"/>
  <c r="M17" i="24"/>
  <c r="L47" i="100"/>
  <c r="M8" i="12"/>
  <c r="M7" i="21"/>
  <c r="M7" i="24"/>
  <c r="M47" i="24" l="1"/>
  <c r="M36" i="24"/>
  <c r="M10" i="12" l="1"/>
  <c r="M17" i="7" l="1"/>
  <c r="M8" i="18"/>
  <c r="L54" i="100"/>
  <c r="M16" i="7"/>
  <c r="M8" i="24"/>
  <c r="L60" i="100"/>
  <c r="M60" i="100" s="1"/>
  <c r="M7" i="19"/>
  <c r="M8" i="21" l="1"/>
  <c r="K54" i="24" l="1"/>
  <c r="K57" i="24"/>
  <c r="I57" i="24"/>
  <c r="K55" i="24"/>
  <c r="I55" i="24"/>
  <c r="I54" i="24"/>
  <c r="M7" i="7"/>
  <c r="M8" i="7"/>
  <c r="M9" i="7"/>
  <c r="M16" i="24" l="1"/>
  <c r="M8" i="30" l="1"/>
  <c r="M31" i="24" l="1"/>
  <c r="I12" i="30"/>
  <c r="K12" i="30"/>
  <c r="K53" i="24"/>
  <c r="I53" i="24"/>
  <c r="K52" i="24"/>
  <c r="I52" i="24"/>
  <c r="M13" i="7"/>
  <c r="M30" i="24"/>
  <c r="M10" i="19" l="1"/>
  <c r="M8" i="19"/>
  <c r="M7" i="12"/>
  <c r="M44" i="100"/>
  <c r="M23" i="24"/>
  <c r="K50" i="24" l="1"/>
  <c r="I50" i="24"/>
  <c r="I49" i="24"/>
  <c r="K49" i="24"/>
  <c r="K47" i="24" l="1"/>
  <c r="K48" i="24"/>
  <c r="I47" i="24"/>
  <c r="I48" i="24"/>
  <c r="I46" i="24"/>
  <c r="K46" i="24"/>
  <c r="M15" i="24" l="1"/>
  <c r="M19" i="24" l="1"/>
  <c r="M18" i="24"/>
  <c r="L68" i="100" l="1"/>
  <c r="I11" i="30" l="1"/>
  <c r="K11" i="30"/>
  <c r="K45" i="24" l="1"/>
  <c r="K44" i="24"/>
  <c r="I45" i="24"/>
  <c r="I44" i="24"/>
  <c r="K42" i="24"/>
  <c r="I42" i="24"/>
  <c r="M23" i="86" l="1"/>
  <c r="M20" i="24" l="1"/>
  <c r="K18" i="7" l="1"/>
  <c r="I18" i="7"/>
  <c r="M11" i="14" l="1"/>
  <c r="K11" i="14"/>
  <c r="K10" i="14"/>
  <c r="I17" i="7"/>
  <c r="K17" i="7"/>
  <c r="K16" i="7" l="1"/>
  <c r="I16" i="7"/>
  <c r="I15" i="7"/>
  <c r="K15" i="7"/>
  <c r="K23" i="86" l="1"/>
  <c r="I23" i="86"/>
  <c r="I18" i="86"/>
  <c r="K18" i="86"/>
  <c r="M9" i="86" l="1"/>
  <c r="M10" i="86"/>
  <c r="I41" i="24"/>
  <c r="K41" i="24"/>
  <c r="M33" i="24"/>
  <c r="I14" i="7"/>
  <c r="K14" i="7"/>
  <c r="M27" i="24"/>
  <c r="M22" i="24"/>
  <c r="M21" i="24"/>
  <c r="M13" i="24"/>
  <c r="I13" i="7"/>
  <c r="K13" i="7"/>
  <c r="K17" i="86"/>
  <c r="K16" i="86"/>
  <c r="I17" i="86"/>
  <c r="I16" i="86"/>
  <c r="I15" i="86"/>
  <c r="K15" i="86"/>
  <c r="I12" i="7"/>
  <c r="K12" i="7"/>
  <c r="K10" i="30"/>
  <c r="I10" i="30"/>
  <c r="K9" i="30"/>
  <c r="I9" i="30"/>
  <c r="K39" i="24"/>
  <c r="I39" i="24"/>
  <c r="I40" i="24"/>
  <c r="I11" i="7"/>
  <c r="K11" i="7"/>
  <c r="K10" i="7"/>
  <c r="I10" i="7"/>
  <c r="M12" i="24"/>
  <c r="K43" i="24"/>
  <c r="I43" i="24"/>
  <c r="K8" i="86"/>
  <c r="K9" i="86"/>
  <c r="K10" i="86"/>
  <c r="K11" i="86"/>
  <c r="K12" i="86"/>
  <c r="K13" i="86"/>
  <c r="K14" i="86"/>
  <c r="K7" i="86"/>
  <c r="I8" i="86"/>
  <c r="I9" i="86"/>
  <c r="I10" i="86"/>
  <c r="I11" i="86"/>
  <c r="I12" i="86"/>
  <c r="I13" i="86"/>
  <c r="I14" i="86"/>
  <c r="I7" i="86"/>
  <c r="K12" i="12"/>
  <c r="I12" i="12"/>
  <c r="L44" i="86"/>
  <c r="J44" i="86"/>
  <c r="F44" i="86"/>
  <c r="G44" i="86"/>
  <c r="K10" i="19"/>
  <c r="I10" i="19"/>
  <c r="L16" i="19"/>
  <c r="J16" i="19"/>
  <c r="K7" i="74"/>
  <c r="I7" i="74"/>
  <c r="L21" i="101"/>
  <c r="M9" i="74"/>
  <c r="L9" i="74"/>
  <c r="J9" i="74"/>
  <c r="G9" i="74"/>
  <c r="F9" i="74"/>
  <c r="K9" i="7"/>
  <c r="I9" i="7"/>
  <c r="K38" i="24"/>
  <c r="I38" i="24"/>
  <c r="K37" i="24"/>
  <c r="I37" i="24"/>
  <c r="K8" i="7"/>
  <c r="I8" i="7"/>
  <c r="K12" i="18"/>
  <c r="I12" i="18"/>
  <c r="M22" i="99"/>
  <c r="O10" i="14"/>
  <c r="M9" i="76"/>
  <c r="L9" i="76"/>
  <c r="J9" i="76"/>
  <c r="G9" i="76"/>
  <c r="F9" i="76"/>
  <c r="K32" i="24"/>
  <c r="K31" i="24"/>
  <c r="I32" i="24"/>
  <c r="I31" i="24"/>
  <c r="K40" i="24"/>
  <c r="K11" i="12"/>
  <c r="I11" i="12"/>
  <c r="K10" i="12"/>
  <c r="I10" i="12"/>
  <c r="K11" i="18"/>
  <c r="I11" i="18"/>
  <c r="M7" i="18"/>
  <c r="O9" i="14"/>
  <c r="K10" i="18"/>
  <c r="I10" i="18"/>
  <c r="K36" i="24"/>
  <c r="I36" i="24"/>
  <c r="M24" i="24"/>
  <c r="M9" i="18"/>
  <c r="I27" i="24"/>
  <c r="K27" i="24"/>
  <c r="K33" i="24"/>
  <c r="I33" i="24"/>
  <c r="M10" i="100"/>
  <c r="M10" i="14"/>
  <c r="K7" i="7"/>
  <c r="I7" i="7"/>
  <c r="K8" i="30"/>
  <c r="I8" i="30"/>
  <c r="M56" i="100"/>
  <c r="M9" i="100"/>
  <c r="M8" i="100"/>
  <c r="M7" i="100"/>
  <c r="K30" i="24"/>
  <c r="I30" i="24"/>
  <c r="K8" i="19"/>
  <c r="I8" i="19"/>
  <c r="K7" i="30"/>
  <c r="I7" i="30"/>
  <c r="K8" i="21"/>
  <c r="I8" i="21"/>
  <c r="K7" i="4"/>
  <c r="I7" i="4"/>
  <c r="K26" i="24"/>
  <c r="I26" i="24"/>
  <c r="K25" i="24"/>
  <c r="I25" i="24"/>
  <c r="M11" i="24"/>
  <c r="K24" i="24"/>
  <c r="I24" i="24"/>
  <c r="K23" i="24"/>
  <c r="I23" i="24"/>
  <c r="K9" i="12"/>
  <c r="I9" i="12"/>
  <c r="K7" i="21"/>
  <c r="I7" i="21"/>
  <c r="K22" i="24"/>
  <c r="I22" i="24"/>
  <c r="K21" i="24"/>
  <c r="I21" i="24"/>
  <c r="G18" i="100"/>
  <c r="K20" i="24"/>
  <c r="I20" i="24"/>
  <c r="K19" i="24"/>
  <c r="I19" i="24"/>
  <c r="K8" i="12"/>
  <c r="I8" i="12"/>
  <c r="I18" i="24"/>
  <c r="K18" i="24"/>
  <c r="K17" i="24"/>
  <c r="I17" i="24"/>
  <c r="K16" i="24"/>
  <c r="I16" i="24"/>
  <c r="I15" i="24"/>
  <c r="K15" i="24"/>
  <c r="L16" i="18"/>
  <c r="J16" i="18"/>
  <c r="G16" i="18"/>
  <c r="K14" i="24"/>
  <c r="I14" i="24"/>
  <c r="K9" i="18"/>
  <c r="I9" i="18"/>
  <c r="K9" i="14"/>
  <c r="M9" i="14"/>
  <c r="K13" i="24"/>
  <c r="I13" i="24"/>
  <c r="M41" i="99"/>
  <c r="K7" i="19"/>
  <c r="I7" i="19"/>
  <c r="K12" i="24"/>
  <c r="K11" i="24"/>
  <c r="I12" i="24"/>
  <c r="I11" i="24"/>
  <c r="K7" i="12"/>
  <c r="I7" i="12"/>
  <c r="K8" i="18"/>
  <c r="I8" i="18"/>
  <c r="K7" i="18"/>
  <c r="I7" i="18"/>
  <c r="K10" i="24"/>
  <c r="K8" i="24"/>
  <c r="K9" i="24"/>
  <c r="K7" i="24"/>
  <c r="I8" i="24"/>
  <c r="I9" i="24"/>
  <c r="I10" i="24"/>
  <c r="I7" i="24"/>
  <c r="L70" i="100"/>
  <c r="J70" i="100"/>
  <c r="M68" i="100"/>
  <c r="M70" i="100" s="1"/>
  <c r="K68" i="100"/>
  <c r="I68" i="100"/>
  <c r="J65" i="100"/>
  <c r="K63" i="100"/>
  <c r="I63" i="100"/>
  <c r="M62" i="100"/>
  <c r="K62" i="100"/>
  <c r="I62" i="100"/>
  <c r="M61" i="100"/>
  <c r="K61" i="100"/>
  <c r="I61" i="100"/>
  <c r="K60" i="100"/>
  <c r="I60" i="100"/>
  <c r="K59" i="100"/>
  <c r="I59" i="100"/>
  <c r="M58" i="100"/>
  <c r="K58" i="100"/>
  <c r="I58" i="100"/>
  <c r="M57" i="100"/>
  <c r="K57" i="100"/>
  <c r="I57" i="100"/>
  <c r="K56" i="100"/>
  <c r="I56" i="100"/>
  <c r="M55" i="100"/>
  <c r="K55" i="100"/>
  <c r="I55" i="100"/>
  <c r="M54" i="100"/>
  <c r="K54" i="100"/>
  <c r="I54" i="100"/>
  <c r="M53" i="100"/>
  <c r="K53" i="100"/>
  <c r="I53" i="100"/>
  <c r="M52" i="100"/>
  <c r="K52" i="100"/>
  <c r="I52" i="100"/>
  <c r="M51" i="100"/>
  <c r="K51" i="100"/>
  <c r="I51" i="100"/>
  <c r="M50" i="100"/>
  <c r="K50" i="100"/>
  <c r="I50" i="100"/>
  <c r="M49" i="100"/>
  <c r="K49" i="100"/>
  <c r="I49" i="100"/>
  <c r="M48" i="100"/>
  <c r="K48" i="100"/>
  <c r="I48" i="100"/>
  <c r="M47" i="100"/>
  <c r="K47" i="100"/>
  <c r="I47" i="100"/>
  <c r="M46" i="100"/>
  <c r="K46" i="100"/>
  <c r="I46" i="100"/>
  <c r="M45" i="100"/>
  <c r="K45" i="100"/>
  <c r="I45" i="100"/>
  <c r="K44" i="100"/>
  <c r="I44" i="100"/>
  <c r="J40" i="100"/>
  <c r="M38" i="100"/>
  <c r="K38" i="100"/>
  <c r="I38" i="100"/>
  <c r="M37" i="100"/>
  <c r="K37" i="100"/>
  <c r="I37" i="100"/>
  <c r="M36" i="100"/>
  <c r="K36" i="100"/>
  <c r="I36" i="100"/>
  <c r="M35" i="100"/>
  <c r="K35" i="100"/>
  <c r="I35" i="100"/>
  <c r="M34" i="100"/>
  <c r="K34" i="100"/>
  <c r="I34" i="100"/>
  <c r="M33" i="100"/>
  <c r="K33" i="100"/>
  <c r="I33" i="100"/>
  <c r="M32" i="100"/>
  <c r="K32" i="100"/>
  <c r="I32" i="100"/>
  <c r="M31" i="100"/>
  <c r="K31" i="100"/>
  <c r="I31" i="100"/>
  <c r="L18" i="100"/>
  <c r="B15" i="93" s="1"/>
  <c r="F18" i="100"/>
  <c r="M44" i="99"/>
  <c r="C8" i="5"/>
  <c r="L76" i="24"/>
  <c r="I16" i="5" s="1"/>
  <c r="J76" i="24"/>
  <c r="I14" i="5" s="1"/>
  <c r="G76" i="24"/>
  <c r="I12" i="5" s="1"/>
  <c r="B12" i="5" s="1"/>
  <c r="F76" i="24"/>
  <c r="I10" i="5" s="1"/>
  <c r="B10" i="5" s="1"/>
  <c r="F16" i="18"/>
  <c r="J14" i="99"/>
  <c r="F14" i="99"/>
  <c r="M7" i="99"/>
  <c r="E53" i="86" s="1"/>
  <c r="M8" i="99"/>
  <c r="M9" i="99"/>
  <c r="M10" i="99"/>
  <c r="M11" i="99"/>
  <c r="L14" i="99"/>
  <c r="I22" i="99"/>
  <c r="I23" i="99"/>
  <c r="M23" i="99"/>
  <c r="I24" i="99"/>
  <c r="M24" i="99"/>
  <c r="I25" i="99"/>
  <c r="M25" i="99"/>
  <c r="I26" i="99"/>
  <c r="M26" i="99"/>
  <c r="I27" i="99"/>
  <c r="M27" i="99"/>
  <c r="I28" i="99"/>
  <c r="M28" i="99"/>
  <c r="I29" i="99"/>
  <c r="M29" i="99"/>
  <c r="J31" i="99"/>
  <c r="I35" i="99"/>
  <c r="M35" i="99"/>
  <c r="J37" i="99"/>
  <c r="L37" i="99"/>
  <c r="I40" i="99"/>
  <c r="I41" i="99"/>
  <c r="I42" i="99"/>
  <c r="M42" i="99"/>
  <c r="I43" i="99"/>
  <c r="M43" i="99"/>
  <c r="E88" i="24" s="1"/>
  <c r="I44" i="99"/>
  <c r="I45" i="99"/>
  <c r="M45" i="99"/>
  <c r="I46" i="99"/>
  <c r="M46" i="99"/>
  <c r="J48" i="99"/>
  <c r="M6" i="97"/>
  <c r="M9" i="97"/>
  <c r="M10" i="97"/>
  <c r="F12" i="97"/>
  <c r="G12" i="97"/>
  <c r="L12" i="97"/>
  <c r="I19" i="97"/>
  <c r="M19" i="97"/>
  <c r="M21" i="97" s="1"/>
  <c r="J21" i="97"/>
  <c r="L21" i="97"/>
  <c r="I23" i="97"/>
  <c r="M23" i="97"/>
  <c r="I24" i="97"/>
  <c r="M24" i="97"/>
  <c r="L26" i="97"/>
  <c r="F8" i="27"/>
  <c r="G8" i="27"/>
  <c r="J8" i="27"/>
  <c r="L8" i="27"/>
  <c r="M8" i="27"/>
  <c r="F8" i="77"/>
  <c r="G8" i="77"/>
  <c r="F10" i="77" s="1"/>
  <c r="J8" i="77"/>
  <c r="L8" i="77"/>
  <c r="M8" i="77"/>
  <c r="F8" i="22"/>
  <c r="G8" i="22"/>
  <c r="J8" i="22"/>
  <c r="L8" i="22"/>
  <c r="M8" i="22"/>
  <c r="M14" i="21"/>
  <c r="F14" i="21"/>
  <c r="G14" i="21"/>
  <c r="J14" i="21"/>
  <c r="L14" i="21"/>
  <c r="F8" i="78"/>
  <c r="G8" i="78"/>
  <c r="F12" i="78" s="1"/>
  <c r="J8" i="78"/>
  <c r="L8" i="78"/>
  <c r="M8" i="78"/>
  <c r="F16" i="19"/>
  <c r="G16" i="19"/>
  <c r="M16" i="19"/>
  <c r="F8" i="44"/>
  <c r="G8" i="44"/>
  <c r="J8" i="44"/>
  <c r="L8" i="44"/>
  <c r="M8" i="44"/>
  <c r="F8" i="75"/>
  <c r="G8" i="75"/>
  <c r="J8" i="75"/>
  <c r="L8" i="75"/>
  <c r="M8" i="75"/>
  <c r="M15" i="12"/>
  <c r="F15" i="12"/>
  <c r="G15" i="12"/>
  <c r="J15" i="12"/>
  <c r="L15" i="12"/>
  <c r="F8" i="73"/>
  <c r="G8" i="73"/>
  <c r="J8" i="73"/>
  <c r="L8" i="73"/>
  <c r="M8" i="73"/>
  <c r="M29" i="7"/>
  <c r="F29" i="7"/>
  <c r="G29" i="7"/>
  <c r="G12" i="5" s="1"/>
  <c r="J29" i="7"/>
  <c r="G14" i="5" s="1"/>
  <c r="L29" i="7"/>
  <c r="G16" i="5" s="1"/>
  <c r="F19" i="30"/>
  <c r="F10" i="5" s="1"/>
  <c r="G19" i="30"/>
  <c r="F12" i="5" s="1"/>
  <c r="J19" i="30"/>
  <c r="F14" i="5" s="1"/>
  <c r="L19" i="30"/>
  <c r="F16" i="5" s="1"/>
  <c r="M19" i="30"/>
  <c r="F11" i="6"/>
  <c r="E10" i="5" s="1"/>
  <c r="G11" i="6"/>
  <c r="E12" i="5" s="1"/>
  <c r="J11" i="6"/>
  <c r="E14" i="5" s="1"/>
  <c r="L11" i="6"/>
  <c r="B18" i="93" s="1"/>
  <c r="F9" i="4"/>
  <c r="D10" i="5" s="1"/>
  <c r="G9" i="4"/>
  <c r="J9" i="4"/>
  <c r="D14" i="5" s="1"/>
  <c r="L9" i="4"/>
  <c r="B24" i="93" s="1"/>
  <c r="M9" i="4"/>
  <c r="D18" i="5" s="1"/>
  <c r="F20" i="14"/>
  <c r="H20" i="14"/>
  <c r="C10" i="5" s="1"/>
  <c r="I20" i="14"/>
  <c r="L20" i="14"/>
  <c r="C14" i="5" s="1"/>
  <c r="N20" i="14"/>
  <c r="B5" i="5"/>
  <c r="D12" i="5"/>
  <c r="M11" i="6"/>
  <c r="E18" i="5" s="1"/>
  <c r="J26" i="97"/>
  <c r="B97" i="93" l="1"/>
  <c r="B96" i="93"/>
  <c r="C26" i="5"/>
  <c r="F18" i="5"/>
  <c r="B14" i="5"/>
  <c r="C12" i="5"/>
  <c r="C20" i="5" s="1"/>
  <c r="F10" i="27"/>
  <c r="E8" i="5"/>
  <c r="E22" i="5" s="1"/>
  <c r="E28" i="5" s="1"/>
  <c r="H14" i="5"/>
  <c r="H12" i="5"/>
  <c r="F13" i="74"/>
  <c r="F20" i="12"/>
  <c r="M26" i="97"/>
  <c r="F12" i="75"/>
  <c r="M37" i="99"/>
  <c r="F12" i="44"/>
  <c r="F10" i="44"/>
  <c r="C25" i="5"/>
  <c r="F11" i="76"/>
  <c r="G18" i="5"/>
  <c r="F25" i="5"/>
  <c r="F21" i="30"/>
  <c r="E16" i="5"/>
  <c r="F13" i="6"/>
  <c r="F17" i="12"/>
  <c r="F18" i="21"/>
  <c r="F10" i="75"/>
  <c r="C16" i="5"/>
  <c r="F12" i="27"/>
  <c r="F18" i="19"/>
  <c r="H16" i="5"/>
  <c r="B16" i="5" s="1"/>
  <c r="F16" i="21"/>
  <c r="M76" i="24"/>
  <c r="I18" i="5" s="1"/>
  <c r="F11" i="4"/>
  <c r="F20" i="19"/>
  <c r="F12" i="73"/>
  <c r="F12" i="77"/>
  <c r="H24" i="5"/>
  <c r="F18" i="18"/>
  <c r="F31" i="7"/>
  <c r="F13" i="76"/>
  <c r="G26" i="5"/>
  <c r="O20" i="14"/>
  <c r="H10" i="5"/>
  <c r="D16" i="5"/>
  <c r="F12" i="22"/>
  <c r="M16" i="18"/>
  <c r="F20" i="18" s="1"/>
  <c r="F78" i="24"/>
  <c r="I20" i="5"/>
  <c r="B20" i="5" s="1"/>
  <c r="F20" i="5"/>
  <c r="C1" i="14"/>
  <c r="D20" i="5"/>
  <c r="E20" i="5"/>
  <c r="I26" i="5"/>
  <c r="G10" i="5"/>
  <c r="G20" i="5" s="1"/>
  <c r="F8" i="5"/>
  <c r="H8" i="5"/>
  <c r="I8" i="5"/>
  <c r="B3" i="93"/>
  <c r="F26" i="5"/>
  <c r="F10" i="22"/>
  <c r="G8" i="5"/>
  <c r="M44" i="86"/>
  <c r="F22" i="14"/>
  <c r="D8" i="5"/>
  <c r="D22" i="5" s="1"/>
  <c r="F46" i="86"/>
  <c r="B12" i="93" l="1"/>
  <c r="B104" i="93"/>
  <c r="B46" i="93"/>
  <c r="C1" i="6"/>
  <c r="F15" i="6" s="1"/>
  <c r="I22" i="5"/>
  <c r="F26" i="14"/>
  <c r="B27" i="93"/>
  <c r="I24" i="5"/>
  <c r="B24" i="5" s="1"/>
  <c r="C18" i="5"/>
  <c r="H18" i="5"/>
  <c r="D25" i="5"/>
  <c r="B25" i="5" s="1"/>
  <c r="B45" i="93"/>
  <c r="B26" i="5"/>
  <c r="C1" i="86"/>
  <c r="F48" i="86" s="1"/>
  <c r="H20" i="5"/>
  <c r="C1" i="24"/>
  <c r="C1" i="30"/>
  <c r="F23" i="30" s="1"/>
  <c r="F22" i="5"/>
  <c r="F28" i="5" s="1"/>
  <c r="G22" i="5"/>
  <c r="G28" i="5" s="1"/>
  <c r="C1" i="7"/>
  <c r="F33" i="7" s="1"/>
  <c r="K3" i="14"/>
  <c r="K4" i="14"/>
  <c r="C1" i="4"/>
  <c r="F13" i="4" s="1"/>
  <c r="B53" i="93" l="1"/>
  <c r="B63" i="93"/>
  <c r="F80" i="24"/>
  <c r="H22" i="5"/>
  <c r="H28" i="5" s="1"/>
  <c r="B18" i="5"/>
  <c r="B1" i="104"/>
  <c r="F59" i="104" s="1"/>
  <c r="C22" i="5"/>
  <c r="C28" i="5" s="1"/>
  <c r="I28" i="5"/>
  <c r="D28" i="5"/>
  <c r="F24" i="101" l="1"/>
  <c r="B22" i="5"/>
  <c r="B28" i="5" s="1"/>
  <c r="J8" i="5"/>
  <c r="J22" i="5" s="1"/>
  <c r="B47" i="93" l="1"/>
  <c r="B48" i="93" s="1"/>
  <c r="B50" i="93" s="1"/>
  <c r="G8" i="101"/>
  <c r="G21" i="101" l="1"/>
</calcChain>
</file>

<file path=xl/sharedStrings.xml><?xml version="1.0" encoding="utf-8"?>
<sst xmlns="http://schemas.openxmlformats.org/spreadsheetml/2006/main" count="2542" uniqueCount="591">
  <si>
    <t xml:space="preserve">   STATE VOTED ISSUES</t>
  </si>
  <si>
    <t xml:space="preserve">    RESIDENTIAL RENTAL PROJECTS</t>
  </si>
  <si>
    <t xml:space="preserve">  </t>
  </si>
  <si>
    <t>IDBs</t>
  </si>
  <si>
    <t>CERTIFIED</t>
  </si>
  <si>
    <t>UPDATE</t>
  </si>
  <si>
    <t>TOTALS</t>
  </si>
  <si>
    <t xml:space="preserve"> </t>
  </si>
  <si>
    <t xml:space="preserve">RESERVED </t>
  </si>
  <si>
    <t>DATE</t>
  </si>
  <si>
    <t>Available</t>
  </si>
  <si>
    <t>REGION 7</t>
  </si>
  <si>
    <t>SUBCEILING #4</t>
  </si>
  <si>
    <t>TDHCA - MF</t>
  </si>
  <si>
    <t xml:space="preserve">RESERVATION </t>
  </si>
  <si>
    <t>TOTAL</t>
  </si>
  <si>
    <t>All Other</t>
  </si>
  <si>
    <t>LOT #</t>
  </si>
  <si>
    <t>DEADLINE</t>
  </si>
  <si>
    <t xml:space="preserve">TOTALS </t>
  </si>
  <si>
    <t>Local HFC's MF</t>
  </si>
  <si>
    <t>SUBCEILING #1</t>
  </si>
  <si>
    <t>PRIORITY 1</t>
  </si>
  <si>
    <t xml:space="preserve">RELEASE/ </t>
  </si>
  <si>
    <t>REQUESTED</t>
  </si>
  <si>
    <t xml:space="preserve">SUBCEILING #3 </t>
  </si>
  <si>
    <t>State Voted</t>
  </si>
  <si>
    <t>REGION 9</t>
  </si>
  <si>
    <t>ALLOCATION</t>
  </si>
  <si>
    <t>RELEASE/</t>
  </si>
  <si>
    <t>UNSATISFIED REQUESTS</t>
  </si>
  <si>
    <t xml:space="preserve">   ALL OTHER ISSUES</t>
  </si>
  <si>
    <t>ISSUER</t>
  </si>
  <si>
    <t>LOT#</t>
  </si>
  <si>
    <t>DOCKET#</t>
  </si>
  <si>
    <t>MRB's</t>
  </si>
  <si>
    <t>35-DAY</t>
  </si>
  <si>
    <t xml:space="preserve">    MORTGAGE REVENUE BONDS</t>
  </si>
  <si>
    <t xml:space="preserve"> QUALIFIED SMALL ISSUE </t>
  </si>
  <si>
    <t>STATUS</t>
  </si>
  <si>
    <t>UTILIZATION</t>
  </si>
  <si>
    <t>REGION 6</t>
  </si>
  <si>
    <t xml:space="preserve">    REGION 3</t>
  </si>
  <si>
    <t>REGION 10</t>
  </si>
  <si>
    <t>AMOUNT</t>
  </si>
  <si>
    <t>In-Line</t>
  </si>
  <si>
    <t>RELEASED</t>
  </si>
  <si>
    <t>LOCATION</t>
  </si>
  <si>
    <t>PERCENTAGE</t>
  </si>
  <si>
    <t xml:space="preserve">SUBCEILING #2 </t>
  </si>
  <si>
    <t>or</t>
  </si>
  <si>
    <t>PROJECT</t>
  </si>
  <si>
    <t>RESERVATIONS RELEASED</t>
  </si>
  <si>
    <t>ELIGIBLE</t>
  </si>
  <si>
    <t>TSAHC - MF</t>
  </si>
  <si>
    <t xml:space="preserve">   </t>
  </si>
  <si>
    <t xml:space="preserve"> RESERVED  </t>
  </si>
  <si>
    <t xml:space="preserve"> AMOUNT </t>
  </si>
  <si>
    <t>SC 1</t>
  </si>
  <si>
    <t>SC 2</t>
  </si>
  <si>
    <t>SC 3</t>
  </si>
  <si>
    <t>SC 4</t>
  </si>
  <si>
    <t>SC 5</t>
  </si>
  <si>
    <t>SC 6</t>
  </si>
  <si>
    <t>REGION 13</t>
  </si>
  <si>
    <t>CERTIFIED TO DATE</t>
  </si>
  <si>
    <t>RESERVATIONS TO DATE</t>
  </si>
  <si>
    <t>ALLOCATIONS TO DATE</t>
  </si>
  <si>
    <t>REGION 5</t>
  </si>
  <si>
    <t>ELIGIBLE REQUESTS TO DATE</t>
  </si>
  <si>
    <t>TDHCA - 33.34%</t>
  </si>
  <si>
    <t xml:space="preserve">TSHAC - total - 10% </t>
  </si>
  <si>
    <t xml:space="preserve">    REGION 1</t>
  </si>
  <si>
    <t xml:space="preserve">    REGION 2</t>
  </si>
  <si>
    <t>REGION 4</t>
  </si>
  <si>
    <t>REGION 12</t>
  </si>
  <si>
    <t>REGION 11</t>
  </si>
  <si>
    <t>REGION 8</t>
  </si>
  <si>
    <t xml:space="preserve">Available </t>
  </si>
  <si>
    <t>TDHCA</t>
  </si>
  <si>
    <t>CF</t>
  </si>
  <si>
    <t>City of Dallas HFC</t>
  </si>
  <si>
    <t>Dallas</t>
  </si>
  <si>
    <t>Austin</t>
  </si>
  <si>
    <t>Houston</t>
  </si>
  <si>
    <t>San Antonio</t>
  </si>
  <si>
    <t>CLOSED</t>
  </si>
  <si>
    <t>McKinney</t>
  </si>
  <si>
    <t>El Paso</t>
  </si>
  <si>
    <t>New Hope Cultural Education Facilities Finance Corporation</t>
  </si>
  <si>
    <t>Mission EDC</t>
  </si>
  <si>
    <t>Kyle</t>
  </si>
  <si>
    <t xml:space="preserve"> REQUESTED </t>
  </si>
  <si>
    <t xml:space="preserve"> DESIGNATED </t>
  </si>
  <si>
    <t>FEE</t>
  </si>
  <si>
    <t xml:space="preserve"> CERTIFIED </t>
  </si>
  <si>
    <t xml:space="preserve"> CLOSED </t>
  </si>
  <si>
    <t xml:space="preserve">CARRYFORWARD </t>
  </si>
  <si>
    <t>REMAINING</t>
  </si>
  <si>
    <t>Priority 6</t>
  </si>
  <si>
    <t xml:space="preserve"> ALLOCATION </t>
  </si>
  <si>
    <t>(NET)</t>
  </si>
  <si>
    <t>Residential Rental</t>
  </si>
  <si>
    <t>Fort Worth</t>
  </si>
  <si>
    <t>CONFIRMATION</t>
  </si>
  <si>
    <t>Tarrant County HFC</t>
  </si>
  <si>
    <t>Travis County HFC</t>
  </si>
  <si>
    <t>Harris County Housing Authority PFC</t>
  </si>
  <si>
    <t>Submission</t>
  </si>
  <si>
    <t>Current Year Cap</t>
  </si>
  <si>
    <t>Carryforward to CY</t>
  </si>
  <si>
    <t>Total Capacity</t>
  </si>
  <si>
    <t>Mortgage Revenue Bonds</t>
  </si>
  <si>
    <t>CF used</t>
  </si>
  <si>
    <t>HERA CF Used</t>
  </si>
  <si>
    <t>Mortgage Credit Certificates</t>
  </si>
  <si>
    <t>Multifamily Housing</t>
  </si>
  <si>
    <t>Housing Not Broken out</t>
  </si>
  <si>
    <t>Exempt Facilities</t>
  </si>
  <si>
    <t>Student Loans</t>
  </si>
  <si>
    <t>State Voted Issues</t>
  </si>
  <si>
    <t>Current Year Abandonded</t>
  </si>
  <si>
    <t>Carryforward Expiring</t>
  </si>
  <si>
    <t>2002 CF</t>
  </si>
  <si>
    <t>2003 CF</t>
  </si>
  <si>
    <t>2004 CF</t>
  </si>
  <si>
    <t>2005 CF</t>
  </si>
  <si>
    <t>2006 CF</t>
  </si>
  <si>
    <t>2007 CF</t>
  </si>
  <si>
    <t>2008 CF</t>
  </si>
  <si>
    <t>2009 CF</t>
  </si>
  <si>
    <t>HERA Carryforward</t>
  </si>
  <si>
    <t>2010 CF</t>
  </si>
  <si>
    <t>2011 CF</t>
  </si>
  <si>
    <t>2012 CF</t>
  </si>
  <si>
    <t>2013 CF</t>
  </si>
  <si>
    <t>2014 CF</t>
  </si>
  <si>
    <t>CF to next year</t>
  </si>
  <si>
    <t>2002*</t>
  </si>
  <si>
    <t>2001*</t>
  </si>
  <si>
    <t xml:space="preserve"> $- </t>
  </si>
  <si>
    <t>Allocation</t>
  </si>
  <si>
    <t>CF Allocated</t>
  </si>
  <si>
    <t>HERA CF Allocated</t>
  </si>
  <si>
    <t>CF Available</t>
  </si>
  <si>
    <t>Total Allocated</t>
  </si>
  <si>
    <t>Current Year Volume Cap Check</t>
  </si>
  <si>
    <t>Carryforward Check</t>
  </si>
  <si>
    <t>CF ABANDONED</t>
  </si>
  <si>
    <t>Current Year</t>
  </si>
  <si>
    <t>Capital Area HFC</t>
  </si>
  <si>
    <t>San Marcos</t>
  </si>
  <si>
    <t>Texas</t>
  </si>
  <si>
    <t>McKinney Housing Finance Corporation</t>
  </si>
  <si>
    <t>Sphinx at Throckmorton Villas</t>
  </si>
  <si>
    <t>Sphinx at Sierra Vista Senior Villas</t>
  </si>
  <si>
    <t>Austin HFC</t>
  </si>
  <si>
    <t>Alamito PFC</t>
  </si>
  <si>
    <t>San Antonio Housing Trust FC</t>
  </si>
  <si>
    <t>Round Rock</t>
  </si>
  <si>
    <t>2015 CF</t>
  </si>
  <si>
    <t>N/A</t>
  </si>
  <si>
    <t>2016 CF</t>
  </si>
  <si>
    <t>Qualified Mortgage Bonds</t>
  </si>
  <si>
    <t>Plano</t>
  </si>
  <si>
    <t>Nortex HFC</t>
  </si>
  <si>
    <t>Wichita Falls</t>
  </si>
  <si>
    <t>MCCs</t>
  </si>
  <si>
    <t>Student Loan Bonds</t>
  </si>
  <si>
    <t>McKinney HFC</t>
  </si>
  <si>
    <t>Brazos HEA</t>
  </si>
  <si>
    <t>2017 TRADITIONAL CARRYFORWARD</t>
  </si>
  <si>
    <t>Qualified Mortgage Bonds/MCCs</t>
  </si>
  <si>
    <t>17CF-001</t>
  </si>
  <si>
    <t>Priority 5</t>
  </si>
  <si>
    <t>17CF-003</t>
  </si>
  <si>
    <t>RBJ Center</t>
  </si>
  <si>
    <t>17CF-004</t>
  </si>
  <si>
    <t>Bastrop</t>
  </si>
  <si>
    <t>2017 NON TRADITIONAL CARRYFORWARD</t>
  </si>
  <si>
    <t>Leander</t>
  </si>
  <si>
    <t>CARRYFORWARD 2017</t>
  </si>
  <si>
    <t>Texarkana PFC</t>
  </si>
  <si>
    <t>Texarkana</t>
  </si>
  <si>
    <t>TSAHC</t>
  </si>
  <si>
    <t>2017 CF</t>
  </si>
  <si>
    <t>2018 TRADITIONAL CARRYFORWARD</t>
  </si>
  <si>
    <t>18CF-002</t>
  </si>
  <si>
    <t>Culebra Creek Apartments</t>
  </si>
  <si>
    <t>2018 NON TRADITIONAL CARRYFORWARD</t>
  </si>
  <si>
    <t>18CF-003</t>
  </si>
  <si>
    <t>Grand Station Apartments</t>
  </si>
  <si>
    <t>Statewide</t>
  </si>
  <si>
    <t>18CF-004</t>
  </si>
  <si>
    <t>Kyle Dacy Apartments</t>
  </si>
  <si>
    <t>18CF-005</t>
  </si>
  <si>
    <t>18CF-006</t>
  </si>
  <si>
    <t>Leander Lofts</t>
  </si>
  <si>
    <t>Buda Dacy Apartments</t>
  </si>
  <si>
    <t>Buda</t>
  </si>
  <si>
    <t>North Central Texas HFC</t>
  </si>
  <si>
    <t>Rockwall</t>
  </si>
  <si>
    <t>Las Varas PFC</t>
  </si>
  <si>
    <t>Robinson Apartments</t>
  </si>
  <si>
    <t>Single Family MRB</t>
  </si>
  <si>
    <t>QMB</t>
  </si>
  <si>
    <t>Garland HFC</t>
  </si>
  <si>
    <t>Single Family MRB Program</t>
  </si>
  <si>
    <t>Single Family Mortgage Origination Program</t>
  </si>
  <si>
    <t>THECB</t>
  </si>
  <si>
    <t>Student Loan Program</t>
  </si>
  <si>
    <t>Midland</t>
  </si>
  <si>
    <t>Single Family Mortgage Revenue Bonds</t>
  </si>
  <si>
    <t>Freeport</t>
  </si>
  <si>
    <t>Amount Available for Traditional Carryforward</t>
  </si>
  <si>
    <t>2018CF</t>
  </si>
  <si>
    <t>CARRYFORWARD 2018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</si>
  <si>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</si>
  <si>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The Villas Del San Xavier Senior Residences</t>
  </si>
  <si>
    <t>Austin Affordable PFC, Inc.</t>
  </si>
  <si>
    <t>Bridge at Loyola Lofts</t>
  </si>
  <si>
    <t>19CF-001</t>
  </si>
  <si>
    <t>Canyon Pass Apartments</t>
  </si>
  <si>
    <t>2019 TRADITIONAL CARRYFORWARD</t>
  </si>
  <si>
    <t>San Antonio Housing Trust Finance Corporation</t>
  </si>
  <si>
    <t>19CF-002</t>
  </si>
  <si>
    <t>Mira Vista Apartments</t>
  </si>
  <si>
    <t>The Haven at Willow Creek Park</t>
  </si>
  <si>
    <t>19CF-003</t>
  </si>
  <si>
    <t>Denton County HFC</t>
  </si>
  <si>
    <t>Aubrey</t>
  </si>
  <si>
    <t>Hamilton Valley Texas Portfolio - Pool 1 (13 properties)</t>
  </si>
  <si>
    <t>Hamilton Valley Texas Portfolio - Pool 2 (8 properties)</t>
  </si>
  <si>
    <t>Alazan Courts Apartments</t>
  </si>
  <si>
    <t>Scattered Site</t>
  </si>
  <si>
    <t>Hamilton Valley Texas Portfolio - Pool 3 (1 property) The Village Apts</t>
  </si>
  <si>
    <t>Tomball</t>
  </si>
  <si>
    <t>Fishpond at Corpus Christi</t>
  </si>
  <si>
    <t>Corpus Christi</t>
  </si>
  <si>
    <t>Signature at Franklin Park Apts</t>
  </si>
  <si>
    <t>EMLI at Pecan Creek Apts</t>
  </si>
  <si>
    <t>19CF-004</t>
  </si>
  <si>
    <t>Old Pearsall Flats</t>
  </si>
  <si>
    <t>19CF-005</t>
  </si>
  <si>
    <t>Kitty Hawk Flats</t>
  </si>
  <si>
    <t>1604 Lofts Apartments</t>
  </si>
  <si>
    <t>19CF-006</t>
  </si>
  <si>
    <t>19CF-007</t>
  </si>
  <si>
    <t>Traders Flats</t>
  </si>
  <si>
    <t>Converse</t>
  </si>
  <si>
    <t>EADO 800 Lofts</t>
  </si>
  <si>
    <t>Riverstone</t>
  </si>
  <si>
    <t>The Reserves at San Marcos</t>
  </si>
  <si>
    <t>QMBs</t>
  </si>
  <si>
    <t>MRB/MCCs</t>
  </si>
  <si>
    <t>Ventura at Palmer Lane</t>
  </si>
  <si>
    <t>Manor</t>
  </si>
  <si>
    <t>Lakeway Apts</t>
  </si>
  <si>
    <t>Balch Springs</t>
  </si>
  <si>
    <t>Greenville</t>
  </si>
  <si>
    <t>Strategic Housing HFC of Travis County</t>
  </si>
  <si>
    <t>19CF-008</t>
  </si>
  <si>
    <t>Cascades at Onion Creek</t>
  </si>
  <si>
    <t>Flora Street Lofts</t>
  </si>
  <si>
    <t>Ventura at Fairgrounds</t>
  </si>
  <si>
    <t>St. John's Square Apartments</t>
  </si>
  <si>
    <t>Boyce Parmer Apartments Phase II</t>
  </si>
  <si>
    <t>Single Family MCC Program</t>
  </si>
  <si>
    <t>Richcrest Apartments</t>
  </si>
  <si>
    <t>Big Spring</t>
  </si>
  <si>
    <t>Auro Crossing Apartments</t>
  </si>
  <si>
    <t>The Pines</t>
  </si>
  <si>
    <t>The Woodlands</t>
  </si>
  <si>
    <t>Brazos Higher Education Authority, Inc.</t>
  </si>
  <si>
    <t>Zume, Inc. Series 2019</t>
  </si>
  <si>
    <r>
      <t xml:space="preserve">STATUS OF </t>
    </r>
    <r>
      <rPr>
        <b/>
        <sz val="9"/>
        <rFont val="Times New Roman"/>
        <family val="1"/>
      </rPr>
      <t>2020</t>
    </r>
    <r>
      <rPr>
        <sz val="9"/>
        <rFont val="Times New Roman"/>
        <family val="1"/>
      </rPr>
      <t xml:space="preserve"> ALLOCATION PROGRAM AS OF - </t>
    </r>
  </si>
  <si>
    <t>Port Aransas Public Finance Corporation</t>
  </si>
  <si>
    <t>Palladium Port Aransas</t>
  </si>
  <si>
    <t>Port Aransas</t>
  </si>
  <si>
    <t>Houston Housing Finance Corporation</t>
  </si>
  <si>
    <t>The St. Joe Apartments</t>
  </si>
  <si>
    <t>Las Varas Public Facility Corporation</t>
  </si>
  <si>
    <t>The Arbor at Wayforest</t>
  </si>
  <si>
    <t>Brazoria County Industrial Development Corporation</t>
  </si>
  <si>
    <t>Gladieux Metals Solid Waste Disposal Facility</t>
  </si>
  <si>
    <t>New Hope Housing Avenue J Apartments</t>
  </si>
  <si>
    <t>North Central Texas Housing Finance Corporation</t>
  </si>
  <si>
    <t>Gala at Fate</t>
  </si>
  <si>
    <t>Fate</t>
  </si>
  <si>
    <t>Student Loan Bonds Series 2020</t>
  </si>
  <si>
    <t>Austin Housing Finance Corporation</t>
  </si>
  <si>
    <t>Vi Collina</t>
  </si>
  <si>
    <t>Capital Area Housing Finance Corporation</t>
  </si>
  <si>
    <t>Grand Avenue Flats</t>
  </si>
  <si>
    <t>Hurst Public Facility Corporation</t>
  </si>
  <si>
    <t>Gala at Central Park Apartments</t>
  </si>
  <si>
    <t>Hurst</t>
  </si>
  <si>
    <t>Harris County Housing Finance Corporation</t>
  </si>
  <si>
    <t>Mortgage Revenue Bonds/ MCCs</t>
  </si>
  <si>
    <t>Harris County</t>
  </si>
  <si>
    <t>Avenue on 34th Apartments</t>
  </si>
  <si>
    <t>Tampico Apartments</t>
  </si>
  <si>
    <t>Montgomery County Housing Finance Corporation</t>
  </si>
  <si>
    <t>Mission Economic Development Corporation</t>
  </si>
  <si>
    <t>Zume, Inc. Project, Series 2020</t>
  </si>
  <si>
    <t>Austin Affordable PFC, Inc</t>
  </si>
  <si>
    <t>The Estates at Owen Tech</t>
  </si>
  <si>
    <t>Republic Services, Inc. Project, Series 2020</t>
  </si>
  <si>
    <t>McKinney Flats</t>
  </si>
  <si>
    <t>Waste Management, Inc. Project, Series 2020</t>
  </si>
  <si>
    <t>FP Hydrotreating LLC Project 1, Series 2020</t>
  </si>
  <si>
    <t>Kitty Hawk Flats Apartments</t>
  </si>
  <si>
    <t>Artisan at Parkdale Apartments</t>
  </si>
  <si>
    <t>Big Springs Economic Development Corporation</t>
  </si>
  <si>
    <t>DG Fuels, LLC</t>
  </si>
  <si>
    <t>Rowlett Housing Finance Corporation</t>
  </si>
  <si>
    <t>Residences at Merritt Hill</t>
  </si>
  <si>
    <t>Rowlett</t>
  </si>
  <si>
    <t>Midland County Public Finance Corporation</t>
  </si>
  <si>
    <t>Palladium at West Francis</t>
  </si>
  <si>
    <t>Victory Street Public Facility Corporation</t>
  </si>
  <si>
    <t>Kathryn Senior Living</t>
  </si>
  <si>
    <t>Texas Higher Education Coordinating Board</t>
  </si>
  <si>
    <t>State of Texas College Student Loan Bonds</t>
  </si>
  <si>
    <t>Travis County Housing Finance Corporation</t>
  </si>
  <si>
    <t>20-033</t>
  </si>
  <si>
    <t>Pan American Apartments</t>
  </si>
  <si>
    <t>20-038</t>
  </si>
  <si>
    <t>20-039</t>
  </si>
  <si>
    <t>Spring Villas Apartments</t>
  </si>
  <si>
    <t>Redwood</t>
  </si>
  <si>
    <t>Enclave at Lake Pointe Apartments</t>
  </si>
  <si>
    <t>Legacy Senior Residences</t>
  </si>
  <si>
    <t>2018 CF used for reservation</t>
  </si>
  <si>
    <t>The Southeast Texas Housing Finance Corporation</t>
  </si>
  <si>
    <t>The Monarch at Bay Prairie</t>
  </si>
  <si>
    <t>Bay City</t>
  </si>
  <si>
    <t>20-041</t>
  </si>
  <si>
    <t>19CF-009</t>
  </si>
  <si>
    <t>Yager Flats</t>
  </si>
  <si>
    <t>19CF-010</t>
  </si>
  <si>
    <t>Wildhorse Apartments</t>
  </si>
  <si>
    <t>CARRYFORWARD 2019</t>
  </si>
  <si>
    <t>Single Family</t>
  </si>
  <si>
    <t xml:space="preserve">210-DAY </t>
  </si>
  <si>
    <t xml:space="preserve">150-DAY </t>
  </si>
  <si>
    <t>180-DAY</t>
  </si>
  <si>
    <t xml:space="preserve">CLOSING </t>
  </si>
  <si>
    <t>Plano Public Facility Corporation</t>
  </si>
  <si>
    <t>South Terrace Apartments</t>
  </si>
  <si>
    <t>Waco</t>
  </si>
  <si>
    <t>20-043</t>
  </si>
  <si>
    <t>Texas Home Collaborative</t>
  </si>
  <si>
    <t>Oakwood Apartments</t>
  </si>
  <si>
    <t>20-044</t>
  </si>
  <si>
    <t>Springwood Apartments</t>
  </si>
  <si>
    <t>El Paso HFC</t>
  </si>
  <si>
    <t>2019 CF</t>
  </si>
  <si>
    <t>RESERVED</t>
  </si>
  <si>
    <t>March 1 Local Collapse</t>
  </si>
  <si>
    <t>WITHDRAWN</t>
  </si>
  <si>
    <t>20-045</t>
  </si>
  <si>
    <t>Hamilton Valley Rural Development Portfolio (22 properties)</t>
  </si>
  <si>
    <t>Water Project</t>
  </si>
  <si>
    <t>2019 NON TRADITIONAL CARRYFORWARD</t>
  </si>
  <si>
    <t>Nueces River Authority</t>
  </si>
  <si>
    <t>Sinton</t>
  </si>
  <si>
    <t>20-051</t>
  </si>
  <si>
    <t>Greenline North Apartments</t>
  </si>
  <si>
    <t>FishPond at Corpus Christi</t>
  </si>
  <si>
    <t xml:space="preserve">2020 STATE CEILING </t>
  </si>
  <si>
    <t>20-055</t>
  </si>
  <si>
    <t>Northwood Apartments</t>
  </si>
  <si>
    <t>20-056</t>
  </si>
  <si>
    <t>The Hollows</t>
  </si>
  <si>
    <t>Waco Public Facility Corporation II</t>
  </si>
  <si>
    <t>Woodway Village Apartments</t>
  </si>
  <si>
    <t>20-061</t>
  </si>
  <si>
    <t>Preserve at the Port Apartments</t>
  </si>
  <si>
    <t>333 Holly</t>
  </si>
  <si>
    <t>EMLI at Pecan Creek Apartments</t>
  </si>
  <si>
    <t>Denton County Housing Finance Corporation</t>
  </si>
  <si>
    <t>Kinwood Apartments</t>
  </si>
  <si>
    <t>AVAILABLE ALLOCATION 2020</t>
  </si>
  <si>
    <t>Pinewood Apartments</t>
  </si>
  <si>
    <t>Alamito Public Facilities Corporation</t>
  </si>
  <si>
    <t>20-066</t>
  </si>
  <si>
    <t>Agave East Apartments</t>
  </si>
  <si>
    <t>Del Valle</t>
  </si>
  <si>
    <t>2020 Steel Dynamics Inc. Project</t>
  </si>
  <si>
    <t>20-067</t>
  </si>
  <si>
    <t>Odessa Housing Finance Corporation</t>
  </si>
  <si>
    <t>Vera at Odessa Apartments</t>
  </si>
  <si>
    <t>Odessa</t>
  </si>
  <si>
    <t>Oaks on Clark Apartments</t>
  </si>
  <si>
    <t>CANCELLED</t>
  </si>
  <si>
    <t>Lantana at Bastrop Apartments</t>
  </si>
  <si>
    <t>SMHA Finance Public Facility Corporation</t>
  </si>
  <si>
    <t>Panhandle Regional HFC</t>
  </si>
  <si>
    <t>Hereford</t>
  </si>
  <si>
    <t>20CF-001</t>
  </si>
  <si>
    <t>2020 TRADITIONAL CARRYFORWARD</t>
  </si>
  <si>
    <t>2020 NON TRADITIONAL CARRYFORWARD</t>
  </si>
  <si>
    <t>20-073</t>
  </si>
  <si>
    <t>Echo East Apartments</t>
  </si>
  <si>
    <t>20-064</t>
  </si>
  <si>
    <t>20-074</t>
  </si>
  <si>
    <t>Northview Apartments</t>
  </si>
  <si>
    <t>Total CF Used</t>
  </si>
  <si>
    <t>The Cameron County Housing Finance Corporation</t>
  </si>
  <si>
    <t>Sunland Country Apartments</t>
  </si>
  <si>
    <t>Harlingen</t>
  </si>
  <si>
    <t>The Walzem Apartments</t>
  </si>
  <si>
    <t>Vermillion Apartments</t>
  </si>
  <si>
    <t>Old Manor Road Senior Apartments</t>
  </si>
  <si>
    <t>East Texas Seniors - Trinity Oaks Apartments Phase I &amp; II</t>
  </si>
  <si>
    <t>Sulphur Springs</t>
  </si>
  <si>
    <t>East Texas Seniors - Pine Terrace Apartments Phase I &amp; II</t>
  </si>
  <si>
    <t>Mount Pleasant</t>
  </si>
  <si>
    <t>Housing Options, Inc.</t>
  </si>
  <si>
    <t>Brooks Manor</t>
  </si>
  <si>
    <t>Bridge at Turtle Creek Apartments</t>
  </si>
  <si>
    <t>Victory Street PFC</t>
  </si>
  <si>
    <t>20CF-003</t>
  </si>
  <si>
    <t>Wildhorse Flats Apartments</t>
  </si>
  <si>
    <t>20-087</t>
  </si>
  <si>
    <t>Pecan Grove Apartments</t>
  </si>
  <si>
    <t>Sequin</t>
  </si>
  <si>
    <t>2100 Memorial Apartments</t>
  </si>
  <si>
    <t>South Houston</t>
  </si>
  <si>
    <t>Granada Terrace Apartments</t>
  </si>
  <si>
    <t>Champions Crossing Apartments</t>
  </si>
  <si>
    <t>20-094</t>
  </si>
  <si>
    <t>Cypress Creek Apartment Homes</t>
  </si>
  <si>
    <t>20-097</t>
  </si>
  <si>
    <t>The Henderson on Reinli</t>
  </si>
  <si>
    <t>The Matador</t>
  </si>
  <si>
    <t>The Conrad</t>
  </si>
  <si>
    <t>Kingswood Apartments</t>
  </si>
  <si>
    <t>20-100</t>
  </si>
  <si>
    <t>Panda Biotech LLC Project, Series 2020</t>
  </si>
  <si>
    <t>Plainview, Wichita Falls, &amp; Electra</t>
  </si>
  <si>
    <t>The Pines Apartments</t>
  </si>
  <si>
    <t>Scott Street Lofts</t>
  </si>
  <si>
    <t xml:space="preserve">North Central Texas HFC </t>
  </si>
  <si>
    <t>Gala at Waxahachie</t>
  </si>
  <si>
    <t>Waxahachie</t>
  </si>
  <si>
    <t>20-105</t>
  </si>
  <si>
    <t>20-107</t>
  </si>
  <si>
    <t>Cattleman Square Lofts Apartments</t>
  </si>
  <si>
    <t>Horizon Pointe Apartments</t>
  </si>
  <si>
    <t>Springdale Manor</t>
  </si>
  <si>
    <t>20-109</t>
  </si>
  <si>
    <t>20-110</t>
  </si>
  <si>
    <t xml:space="preserve">Trinity River PFC </t>
  </si>
  <si>
    <t>Cowan Place Apartments</t>
  </si>
  <si>
    <t>20-111</t>
  </si>
  <si>
    <t>City of Dallas Housing Finance Corporation</t>
  </si>
  <si>
    <t>The Ridge at Lancaster</t>
  </si>
  <si>
    <t>20-112</t>
  </si>
  <si>
    <t>Ridgecrest Terrace Apartments</t>
  </si>
  <si>
    <t>20-114</t>
  </si>
  <si>
    <t>Austin Manor Apts (Phase II)</t>
  </si>
  <si>
    <t>Shady Oaks Manor Apts</t>
  </si>
  <si>
    <t>20-116</t>
  </si>
  <si>
    <t>Legacy Riverside Senior Living Community</t>
  </si>
  <si>
    <t>4547 4549</t>
  </si>
  <si>
    <t>20-117</t>
  </si>
  <si>
    <t>20-118</t>
  </si>
  <si>
    <t>The Terrace at Southern Oaks Apts</t>
  </si>
  <si>
    <t>Montopolis Apartments</t>
  </si>
  <si>
    <t>W. Leo Daniels Towers</t>
  </si>
  <si>
    <t>20CF-004</t>
  </si>
  <si>
    <t>20CF-005</t>
  </si>
  <si>
    <t>Ridge at East Village</t>
  </si>
  <si>
    <t>20CF-006</t>
  </si>
  <si>
    <t>The Residences at Howard Lane</t>
  </si>
  <si>
    <t>2018 2019 CF</t>
  </si>
  <si>
    <t>2017 &amp; 2018 CF</t>
  </si>
  <si>
    <t>20-123</t>
  </si>
  <si>
    <t xml:space="preserve">4564&amp; 4561 </t>
  </si>
  <si>
    <t>2018 CF</t>
  </si>
  <si>
    <t>Student Loan Refunding Bonds</t>
  </si>
  <si>
    <t>Cove in Odessa Apt</t>
  </si>
  <si>
    <t>20-127</t>
  </si>
  <si>
    <t>Blue Water Gardens Apts</t>
  </si>
  <si>
    <t>20CF-007</t>
  </si>
  <si>
    <t>Georgetown</t>
  </si>
  <si>
    <t>Espero Landing / Asperanza Heights</t>
  </si>
  <si>
    <t>20-128</t>
  </si>
  <si>
    <t>20-129</t>
  </si>
  <si>
    <t>Murdeaux Villas</t>
  </si>
  <si>
    <t>20-130</t>
  </si>
  <si>
    <t>The Montage Apts</t>
  </si>
  <si>
    <t>20-132</t>
  </si>
  <si>
    <t>Merritt Headwaters</t>
  </si>
  <si>
    <t>Dripping Springs</t>
  </si>
  <si>
    <t>Bexar County Housing Finance Corporation</t>
  </si>
  <si>
    <t>Applewood Ranch Apartments</t>
  </si>
  <si>
    <t>20-134</t>
  </si>
  <si>
    <t>Garland Housing Finance Corporation</t>
  </si>
  <si>
    <t>Garland</t>
  </si>
  <si>
    <t>Single Family Bonds or MCCs</t>
  </si>
  <si>
    <t>20-137</t>
  </si>
  <si>
    <t>Oso Bay Apartments</t>
  </si>
  <si>
    <t>2018 &amp; 2019 CF</t>
  </si>
  <si>
    <t>2021 MCC Program</t>
  </si>
  <si>
    <t>Southeast Texas HFC</t>
  </si>
  <si>
    <t>2020 MCC Program</t>
  </si>
  <si>
    <t>Galveston Public Facility Corporation</t>
  </si>
  <si>
    <t>The Oleanders at Broadway</t>
  </si>
  <si>
    <t>Galveston</t>
  </si>
  <si>
    <t>Qualified Mortgage Bonds/ MCCs</t>
  </si>
  <si>
    <t>20-142</t>
  </si>
  <si>
    <t>Angelina and Neches River Authority IDC</t>
  </si>
  <si>
    <t>Jefferson Enterprise Energy, LLC Sewage and Solid Waste Disposal Facilities</t>
  </si>
  <si>
    <t>Lufkin</t>
  </si>
  <si>
    <t>20-143</t>
  </si>
  <si>
    <t>City Heights</t>
  </si>
  <si>
    <t>20-146</t>
  </si>
  <si>
    <t>Hidalgo Housing Development Corporation</t>
  </si>
  <si>
    <t>Progreso Heights Apartments</t>
  </si>
  <si>
    <t>Progreso</t>
  </si>
  <si>
    <t>20-148</t>
  </si>
  <si>
    <t>20-149</t>
  </si>
  <si>
    <t>20-150</t>
  </si>
  <si>
    <t>Cedar Ridge Apartments</t>
  </si>
  <si>
    <t>Shiloh Village Apartments</t>
  </si>
  <si>
    <t>Multi-Counties</t>
  </si>
  <si>
    <t>20-151</t>
  </si>
  <si>
    <t>Country Club Village Apts</t>
  </si>
  <si>
    <t>20-152</t>
  </si>
  <si>
    <t>Collapse</t>
  </si>
  <si>
    <t>CLOSING</t>
  </si>
  <si>
    <t>August 15th</t>
  </si>
  <si>
    <t>20-153</t>
  </si>
  <si>
    <t>20-154</t>
  </si>
  <si>
    <t>Historic Oaks of Allen Parkway Village</t>
  </si>
  <si>
    <t>Allen Parkway Village Apartments</t>
  </si>
  <si>
    <t>20-155</t>
  </si>
  <si>
    <t>Austin Housing Fincance Corporation</t>
  </si>
  <si>
    <t>Marshall Apartments</t>
  </si>
  <si>
    <t>Fawn Ridge Apartments</t>
  </si>
  <si>
    <t>Espero Austin at Rutland</t>
  </si>
  <si>
    <t>Pine Terrace Apartments</t>
  </si>
  <si>
    <t>Trinity Oaks Apartments</t>
  </si>
  <si>
    <t>20-160</t>
  </si>
  <si>
    <t>Sandpiper Cove Apartments</t>
  </si>
  <si>
    <t>20-161</t>
  </si>
  <si>
    <t>Kallison Ranch Apartments</t>
  </si>
  <si>
    <t>Bexar Management and Development Corporation</t>
  </si>
  <si>
    <t>20-162</t>
  </si>
  <si>
    <t>Enclave on Ross Apartments</t>
  </si>
  <si>
    <t>Amount Available</t>
  </si>
  <si>
    <t>20-163</t>
  </si>
  <si>
    <t>Watson Road Apartments</t>
  </si>
  <si>
    <t>20-164</t>
  </si>
  <si>
    <t>Copernicus Apartments</t>
  </si>
  <si>
    <t>20-165</t>
  </si>
  <si>
    <t>Tax-Exempt Student Loan Program Revenue Bonds</t>
  </si>
  <si>
    <t>20-166</t>
  </si>
  <si>
    <t>20-167</t>
  </si>
  <si>
    <t>20-168</t>
  </si>
  <si>
    <t>Copperwood Apartments</t>
  </si>
  <si>
    <t>Tamarac Pines Apartments</t>
  </si>
  <si>
    <t>TDHCA (assigned by Harris County HFC)</t>
  </si>
  <si>
    <t>Pleasant Hill Apartments</t>
  </si>
  <si>
    <t>Capitol View Flats</t>
  </si>
  <si>
    <t>20CF-008</t>
  </si>
  <si>
    <t>2018CF 2019CF</t>
  </si>
  <si>
    <t>Any available amount after 8/15 is reflected on the Aug 15 Tab</t>
  </si>
  <si>
    <t>20CF-009</t>
  </si>
  <si>
    <t>Meadow Apartments</t>
  </si>
  <si>
    <t>20CF-010</t>
  </si>
  <si>
    <t>Pflugerville</t>
  </si>
  <si>
    <t>Crystal Bend Apartments</t>
  </si>
  <si>
    <t>20CF-011</t>
  </si>
  <si>
    <t>20-170</t>
  </si>
  <si>
    <t>Any amount returned after 11/15/2020 will go towards 2020 Traditional Carryforward Applications</t>
  </si>
  <si>
    <t>20CF-012</t>
  </si>
  <si>
    <t>The Rebekah</t>
  </si>
  <si>
    <t>20CF-013</t>
  </si>
  <si>
    <t>2020NTCF</t>
  </si>
  <si>
    <t>2020TCF</t>
  </si>
  <si>
    <t>2020 Allocation</t>
  </si>
  <si>
    <t>All 2020 Allocation</t>
  </si>
  <si>
    <t>CF Abandoned (2017)</t>
  </si>
  <si>
    <t>CF used (17/18/19)</t>
  </si>
  <si>
    <t>CF Available (18/19)</t>
  </si>
  <si>
    <t>2020 Total CF</t>
  </si>
  <si>
    <t>All Available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</si>
</sst>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  <numFmt numFmtId="166" formatCode="&quot;$&quot;#,##0"/>
    <numFmt numFmtId="167" formatCode="m/d"/>
    <numFmt numFmtId="168" formatCode="mm/dd/yy"/>
    <numFmt numFmtId="169" formatCode="_(&quot;$&quot;* #,##0.00_);_(&quot;$&quot;* \(#,##0.00\);_(&quot;$&quot;* &quot;-&quot;_);_(@_)"/>
    <numFmt numFmtId="170" formatCode="0.0%"/>
    <numFmt numFmtId="171" formatCode="_(&quot;$&quot;* #,##0.0_);_(&quot;$&quot;* \(#,##0.0\);_(&quot;$&quot;* &quot;-&quot;??_);_(@_)"/>
    <numFmt numFmtId="172" formatCode="_(&quot;$&quot;* #,##0.000_);_(&quot;$&quot;* \(#,##0.000\);_(&quot;$&quot;* &quot;-&quot;??_);_(@_)"/>
    <numFmt numFmtId="173" formatCode="0.000%"/>
    <numFmt numFmtId="174" formatCode="&quot;$&quot;#,##0.000"/>
    <numFmt numFmtId="175" formatCode="&quot;$&quot;#,##0.0000"/>
    <numFmt numFmtId="176" formatCode="_(&quot;$&quot;* #,##0.00000_);_(&quot;$&quot;* \(#,##0.00000\);_(&quot;$&quot;* &quot;-&quot;?????_);_(@_)"/>
    <numFmt numFmtId="177" formatCode="_(&quot;$&quot;* #,##0.0000_);_(&quot;$&quot;* \(#,##0.0000\);_(&quot;$&quot;* &quot;-&quot;????_);_(@_)"/>
    <numFmt numFmtId="178" formatCode="_(* #,##0_);_(* \(#,##0\);_(* &quot;-&quot;??_);_(@_)"/>
    <numFmt numFmtId="179" formatCode="_(* #,##0.000000_);_(* \(#,##0.000000\);_(* &quot;-&quot;??????_);_(@_)"/>
    <numFmt numFmtId="180" formatCode="_(&quot;$&quot;* #,##0.0000_);_(&quot;$&quot;* \(#,##0.0000\);_(&quot;$&quot;* &quot;-&quot;??_);_(@_)"/>
    <numFmt numFmtId="181" formatCode="&quot;$&quot;#,##0.00000"/>
    <numFmt numFmtId="182" formatCode="0.0000%"/>
    <numFmt numFmtId="183" formatCode="_(* #,##0.00000_);_(* \(#,##0.00000\);_(* &quot;-&quot;?????_);_(@_)"/>
  </numFmts>
  <fonts count="29">
    <font>
      <sz val="9"/>
      <name val="Geneva"/>
    </font>
    <font>
      <b/>
      <sz val="9"/>
      <name val="Geneva"/>
    </font>
    <font>
      <sz val="9"/>
      <name val="Geneva"/>
    </font>
    <font>
      <sz val="8"/>
      <name val="Geneva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sz val="7.2"/>
      <name val="Verdana"/>
      <family val="2"/>
    </font>
    <font>
      <sz val="10"/>
      <name val="arial"/>
      <family val="2"/>
    </font>
    <font>
      <b/>
      <sz val="9"/>
      <name val="times new"/>
    </font>
    <font>
      <sz val="9"/>
      <name val="times new"/>
    </font>
    <font>
      <b/>
      <sz val="10"/>
      <name val="Times New Roman"/>
      <family val="1"/>
    </font>
    <font>
      <sz val="10"/>
      <name val="Times New Roman"/>
      <family val="1"/>
    </font>
    <font>
      <sz val="6.75"/>
      <color indexed="8"/>
      <name val="Arial"/>
      <family val="2"/>
    </font>
    <font>
      <sz val="12"/>
      <name val="Helvetica"/>
      <family val="2"/>
    </font>
    <font>
      <b/>
      <u/>
      <sz val="9"/>
      <name val="Times New Roman"/>
      <family val="1"/>
    </font>
    <font>
      <sz val="8.1"/>
      <name val="Verdana"/>
      <family val="2"/>
    </font>
    <font>
      <b/>
      <sz val="12"/>
      <name val="Garamond"/>
      <family val="1"/>
    </font>
    <font>
      <sz val="10"/>
      <name val="times new"/>
    </font>
    <font>
      <sz val="12"/>
      <name val="Garamond"/>
      <family val="1"/>
    </font>
    <font>
      <sz val="9"/>
      <name val="Geneva"/>
      <family val="2"/>
    </font>
    <font>
      <sz val="10"/>
      <name val="Geneva"/>
    </font>
    <font>
      <b/>
      <sz val="10"/>
      <color indexed="12"/>
      <name val="Times New Roman"/>
      <family val="1"/>
    </font>
    <font>
      <i/>
      <sz val="9"/>
      <name val="Times New Roman"/>
      <family val="1"/>
    </font>
    <font>
      <sz val="7.2"/>
      <name val="Times New Roman"/>
      <family val="1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9">
    <xf numFmtId="0" fontId="0" fillId="0" borderId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67">
    <xf numFmtId="0" fontId="0" fillId="0" borderId="0" xfId="0"/>
    <xf numFmtId="0" fontId="4" fillId="0" borderId="0" xfId="0" applyFont="1"/>
    <xf numFmtId="166" fontId="4" fillId="0" borderId="0" xfId="8" applyNumberFormat="1" applyFont="1"/>
    <xf numFmtId="14" fontId="4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8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5" fillId="0" borderId="0" xfId="0" applyNumberFormat="1" applyFont="1"/>
    <xf numFmtId="6" fontId="4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165" fontId="4" fillId="0" borderId="0" xfId="8" applyFont="1" applyAlignment="1">
      <alignment horizontal="center"/>
    </xf>
    <xf numFmtId="0" fontId="4" fillId="0" borderId="0" xfId="0" applyFont="1" applyAlignment="1">
      <alignment horizontal="center"/>
    </xf>
    <xf numFmtId="10" fontId="4" fillId="0" borderId="0" xfId="48" applyNumberFormat="1" applyFont="1"/>
    <xf numFmtId="10" fontId="4" fillId="0" borderId="0" xfId="48" applyNumberFormat="1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5" fontId="5" fillId="0" borderId="2" xfId="0" applyNumberFormat="1" applyFont="1" applyBorder="1" applyAlignment="1">
      <alignment horizontal="center"/>
    </xf>
    <xf numFmtId="164" fontId="4" fillId="0" borderId="2" xfId="8" applyNumberFormat="1" applyFont="1" applyBorder="1" applyAlignment="1">
      <alignment horizontal="center"/>
    </xf>
    <xf numFmtId="164" fontId="5" fillId="0" borderId="2" xfId="23" applyNumberFormat="1" applyFont="1" applyBorder="1" applyAlignment="1">
      <alignment horizontal="right"/>
    </xf>
    <xf numFmtId="5" fontId="4" fillId="0" borderId="2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5" fontId="5" fillId="0" borderId="0" xfId="0" applyNumberFormat="1" applyFont="1" applyAlignment="1">
      <alignment horizontal="center"/>
    </xf>
    <xf numFmtId="164" fontId="4" fillId="0" borderId="0" xfId="8" applyNumberFormat="1" applyFont="1" applyBorder="1" applyAlignment="1">
      <alignment horizontal="center"/>
    </xf>
    <xf numFmtId="164" fontId="5" fillId="0" borderId="0" xfId="23" applyNumberFormat="1" applyFont="1" applyBorder="1" applyAlignment="1">
      <alignment horizontal="right"/>
    </xf>
    <xf numFmtId="7" fontId="4" fillId="0" borderId="0" xfId="0" applyNumberFormat="1" applyFont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4" fontId="5" fillId="0" borderId="0" xfId="8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4" fillId="0" borderId="0" xfId="8" applyNumberFormat="1" applyFont="1" applyAlignment="1">
      <alignment horizontal="center"/>
    </xf>
    <xf numFmtId="44" fontId="4" fillId="0" borderId="0" xfId="8" applyNumberFormat="1" applyFont="1" applyAlignment="1">
      <alignment horizontal="center"/>
    </xf>
    <xf numFmtId="5" fontId="4" fillId="0" borderId="0" xfId="0" applyNumberFormat="1" applyFont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5" fontId="5" fillId="0" borderId="6" xfId="0" applyNumberFormat="1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center"/>
    </xf>
    <xf numFmtId="166" fontId="4" fillId="0" borderId="0" xfId="8" applyNumberFormat="1" applyFont="1" applyAlignment="1">
      <alignment horizontal="right"/>
    </xf>
    <xf numFmtId="166" fontId="4" fillId="0" borderId="0" xfId="8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65" fontId="4" fillId="0" borderId="2" xfId="8" applyFont="1" applyBorder="1" applyAlignment="1">
      <alignment horizontal="center"/>
    </xf>
    <xf numFmtId="44" fontId="4" fillId="0" borderId="2" xfId="8" applyNumberFormat="1" applyFont="1" applyBorder="1" applyAlignment="1">
      <alignment horizontal="center"/>
    </xf>
    <xf numFmtId="165" fontId="4" fillId="0" borderId="0" xfId="8" applyFont="1" applyBorder="1" applyAlignment="1">
      <alignment horizontal="center"/>
    </xf>
    <xf numFmtId="44" fontId="4" fillId="0" borderId="0" xfId="8" applyNumberFormat="1" applyFont="1" applyBorder="1" applyAlignment="1">
      <alignment horizontal="center"/>
    </xf>
    <xf numFmtId="165" fontId="5" fillId="0" borderId="0" xfId="8" applyFont="1" applyBorder="1" applyAlignment="1">
      <alignment horizontal="center"/>
    </xf>
    <xf numFmtId="44" fontId="5" fillId="0" borderId="0" xfId="8" applyNumberFormat="1" applyFont="1" applyBorder="1" applyAlignment="1">
      <alignment horizontal="center"/>
    </xf>
    <xf numFmtId="165" fontId="5" fillId="0" borderId="6" xfId="8" applyFont="1" applyBorder="1" applyAlignment="1">
      <alignment horizontal="center"/>
    </xf>
    <xf numFmtId="44" fontId="5" fillId="0" borderId="6" xfId="8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165" fontId="5" fillId="0" borderId="0" xfId="8" applyFont="1" applyAlignment="1">
      <alignment horizontal="center"/>
    </xf>
    <xf numFmtId="165" fontId="4" fillId="0" borderId="6" xfId="8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165" fontId="4" fillId="0" borderId="2" xfId="8" applyFont="1" applyBorder="1" applyAlignment="1">
      <alignment horizontal="right"/>
    </xf>
    <xf numFmtId="165" fontId="4" fillId="0" borderId="0" xfId="8" applyFont="1" applyBorder="1" applyAlignment="1">
      <alignment horizontal="right"/>
    </xf>
    <xf numFmtId="165" fontId="4" fillId="0" borderId="0" xfId="8" applyFont="1" applyAlignment="1">
      <alignment horizontal="right"/>
    </xf>
    <xf numFmtId="166" fontId="4" fillId="0" borderId="0" xfId="8" applyNumberFormat="1" applyFont="1" applyAlignment="1"/>
    <xf numFmtId="164" fontId="5" fillId="0" borderId="0" xfId="0" applyNumberFormat="1" applyFont="1" applyAlignment="1">
      <alignment horizontal="center"/>
    </xf>
    <xf numFmtId="166" fontId="4" fillId="0" borderId="2" xfId="8" applyNumberFormat="1" applyFont="1" applyBorder="1" applyAlignment="1">
      <alignment horizontal="center"/>
    </xf>
    <xf numFmtId="166" fontId="4" fillId="0" borderId="0" xfId="8" applyNumberFormat="1" applyFont="1" applyBorder="1" applyAlignment="1">
      <alignment horizontal="center"/>
    </xf>
    <xf numFmtId="166" fontId="5" fillId="0" borderId="0" xfId="8" applyNumberFormat="1" applyFont="1" applyBorder="1" applyAlignment="1">
      <alignment horizontal="center"/>
    </xf>
    <xf numFmtId="164" fontId="5" fillId="0" borderId="6" xfId="8" applyNumberFormat="1" applyFont="1" applyBorder="1" applyAlignment="1">
      <alignment horizontal="center"/>
    </xf>
    <xf numFmtId="166" fontId="5" fillId="0" borderId="6" xfId="8" applyNumberFormat="1" applyFont="1" applyBorder="1" applyAlignment="1">
      <alignment horizontal="center"/>
    </xf>
    <xf numFmtId="166" fontId="4" fillId="0" borderId="0" xfId="8" applyNumberFormat="1" applyFont="1" applyAlignment="1">
      <alignment horizontal="center"/>
    </xf>
    <xf numFmtId="166" fontId="4" fillId="0" borderId="6" xfId="8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166" fontId="4" fillId="0" borderId="2" xfId="8" applyNumberFormat="1" applyFont="1" applyBorder="1" applyAlignment="1">
      <alignment horizontal="right"/>
    </xf>
    <xf numFmtId="164" fontId="4" fillId="0" borderId="2" xfId="8" applyNumberFormat="1" applyFont="1" applyBorder="1" applyAlignment="1">
      <alignment horizontal="right"/>
    </xf>
    <xf numFmtId="164" fontId="4" fillId="0" borderId="0" xfId="8" applyNumberFormat="1" applyFont="1" applyBorder="1" applyAlignment="1">
      <alignment horizontal="right"/>
    </xf>
    <xf numFmtId="164" fontId="4" fillId="0" borderId="0" xfId="8" applyNumberFormat="1" applyFont="1" applyAlignment="1">
      <alignment horizontal="right"/>
    </xf>
    <xf numFmtId="164" fontId="5" fillId="0" borderId="0" xfId="8" applyNumberFormat="1" applyFont="1" applyAlignment="1">
      <alignment horizontal="right"/>
    </xf>
    <xf numFmtId="6" fontId="4" fillId="0" borderId="0" xfId="0" applyNumberFormat="1" applyFont="1" applyAlignment="1">
      <alignment horizontal="center"/>
    </xf>
    <xf numFmtId="42" fontId="5" fillId="0" borderId="0" xfId="8" applyNumberFormat="1" applyFont="1" applyAlignment="1">
      <alignment horizontal="right"/>
    </xf>
    <xf numFmtId="166" fontId="4" fillId="0" borderId="6" xfId="8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2" fontId="4" fillId="0" borderId="0" xfId="8" applyNumberFormat="1" applyFont="1" applyAlignment="1">
      <alignment horizontal="center"/>
    </xf>
    <xf numFmtId="42" fontId="4" fillId="0" borderId="0" xfId="8" applyNumberFormat="1" applyFont="1" applyBorder="1" applyAlignment="1">
      <alignment horizontal="right"/>
    </xf>
    <xf numFmtId="42" fontId="4" fillId="0" borderId="0" xfId="8" applyNumberFormat="1" applyFont="1" applyAlignment="1">
      <alignment horizontal="right"/>
    </xf>
    <xf numFmtId="42" fontId="4" fillId="0" borderId="0" xfId="8" applyNumberFormat="1" applyFont="1" applyBorder="1" applyAlignment="1">
      <alignment horizontal="center"/>
    </xf>
    <xf numFmtId="42" fontId="4" fillId="0" borderId="0" xfId="0" applyNumberFormat="1" applyFont="1" applyAlignment="1">
      <alignment horizontal="center"/>
    </xf>
    <xf numFmtId="42" fontId="4" fillId="0" borderId="9" xfId="8" applyNumberFormat="1" applyFont="1" applyBorder="1" applyAlignment="1">
      <alignment horizontal="center"/>
    </xf>
    <xf numFmtId="164" fontId="4" fillId="0" borderId="9" xfId="8" applyNumberFormat="1" applyFont="1" applyBorder="1" applyAlignment="1">
      <alignment horizontal="center"/>
    </xf>
    <xf numFmtId="44" fontId="4" fillId="0" borderId="9" xfId="8" applyNumberFormat="1" applyFont="1" applyBorder="1" applyAlignment="1">
      <alignment horizontal="center"/>
    </xf>
    <xf numFmtId="42" fontId="5" fillId="0" borderId="0" xfId="0" applyNumberFormat="1" applyFont="1" applyAlignment="1">
      <alignment horizontal="center"/>
    </xf>
    <xf numFmtId="164" fontId="5" fillId="0" borderId="2" xfId="23" applyNumberFormat="1" applyFont="1" applyBorder="1" applyAlignment="1">
      <alignment horizontal="center"/>
    </xf>
    <xf numFmtId="164" fontId="4" fillId="0" borderId="0" xfId="23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42" fontId="5" fillId="0" borderId="0" xfId="8" applyNumberFormat="1" applyFont="1" applyAlignment="1">
      <alignment horizontal="center"/>
    </xf>
    <xf numFmtId="164" fontId="5" fillId="0" borderId="0" xfId="23" applyNumberFormat="1" applyFont="1" applyBorder="1" applyAlignment="1">
      <alignment horizontal="center"/>
    </xf>
    <xf numFmtId="164" fontId="5" fillId="0" borderId="6" xfId="23" applyNumberFormat="1" applyFont="1" applyBorder="1" applyAlignment="1">
      <alignment horizontal="center"/>
    </xf>
    <xf numFmtId="42" fontId="5" fillId="0" borderId="0" xfId="0" applyNumberFormat="1" applyFont="1"/>
    <xf numFmtId="42" fontId="4" fillId="0" borderId="0" xfId="0" applyNumberFormat="1" applyFont="1"/>
    <xf numFmtId="164" fontId="5" fillId="0" borderId="9" xfId="0" applyNumberFormat="1" applyFont="1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8" fontId="4" fillId="0" borderId="0" xfId="0" applyNumberFormat="1" applyFont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42" fontId="4" fillId="0" borderId="9" xfId="0" applyNumberFormat="1" applyFont="1" applyBorder="1"/>
    <xf numFmtId="44" fontId="4" fillId="0" borderId="0" xfId="0" applyNumberFormat="1" applyFont="1" applyAlignment="1">
      <alignment horizontal="right"/>
    </xf>
    <xf numFmtId="44" fontId="4" fillId="0" borderId="0" xfId="0" applyNumberFormat="1" applyFont="1"/>
    <xf numFmtId="14" fontId="4" fillId="0" borderId="6" xfId="0" applyNumberFormat="1" applyFont="1" applyBorder="1" applyAlignment="1">
      <alignment horizontal="center"/>
    </xf>
    <xf numFmtId="164" fontId="4" fillId="0" borderId="6" xfId="8" applyNumberFormat="1" applyFont="1" applyBorder="1" applyAlignment="1">
      <alignment horizontal="right"/>
    </xf>
    <xf numFmtId="14" fontId="4" fillId="0" borderId="8" xfId="0" applyNumberFormat="1" applyFont="1" applyBorder="1" applyAlignment="1">
      <alignment horizontal="center"/>
    </xf>
    <xf numFmtId="42" fontId="5" fillId="0" borderId="0" xfId="8" applyNumberFormat="1" applyFont="1" applyBorder="1" applyAlignment="1">
      <alignment horizontal="center"/>
    </xf>
    <xf numFmtId="42" fontId="4" fillId="0" borderId="9" xfId="8" applyNumberFormat="1" applyFont="1" applyBorder="1" applyAlignment="1">
      <alignment horizontal="right"/>
    </xf>
    <xf numFmtId="42" fontId="4" fillId="0" borderId="0" xfId="8" applyNumberFormat="1" applyFont="1" applyAlignment="1"/>
    <xf numFmtId="42" fontId="4" fillId="0" borderId="9" xfId="8" applyNumberFormat="1" applyFont="1" applyBorder="1" applyAlignment="1"/>
    <xf numFmtId="164" fontId="4" fillId="0" borderId="9" xfId="0" applyNumberFormat="1" applyFont="1" applyBorder="1" applyAlignment="1">
      <alignment horizontal="right"/>
    </xf>
    <xf numFmtId="42" fontId="4" fillId="0" borderId="9" xfId="0" applyNumberFormat="1" applyFont="1" applyBorder="1" applyAlignment="1">
      <alignment horizontal="center"/>
    </xf>
    <xf numFmtId="5" fontId="4" fillId="0" borderId="0" xfId="8" applyNumberFormat="1" applyFont="1" applyBorder="1" applyAlignment="1">
      <alignment horizontal="center"/>
    </xf>
    <xf numFmtId="0" fontId="4" fillId="0" borderId="10" xfId="0" applyFont="1" applyBorder="1"/>
    <xf numFmtId="44" fontId="4" fillId="0" borderId="0" xfId="8" applyNumberFormat="1" applyFont="1" applyBorder="1"/>
    <xf numFmtId="169" fontId="4" fillId="0" borderId="0" xfId="0" applyNumberFormat="1" applyFont="1" applyAlignment="1">
      <alignment horizontal="center"/>
    </xf>
    <xf numFmtId="20" fontId="4" fillId="0" borderId="0" xfId="0" applyNumberFormat="1" applyFont="1"/>
    <xf numFmtId="5" fontId="5" fillId="0" borderId="11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" fontId="5" fillId="0" borderId="11" xfId="0" applyNumberFormat="1" applyFont="1" applyBorder="1" applyAlignment="1">
      <alignment horizontal="center"/>
    </xf>
    <xf numFmtId="14" fontId="5" fillId="0" borderId="11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left"/>
    </xf>
    <xf numFmtId="14" fontId="4" fillId="0" borderId="0" xfId="8" applyNumberFormat="1" applyFont="1" applyAlignment="1">
      <alignment horizontal="left"/>
    </xf>
    <xf numFmtId="164" fontId="4" fillId="0" borderId="0" xfId="0" quotePrefix="1" applyNumberFormat="1" applyFont="1" applyAlignment="1">
      <alignment horizontal="right"/>
    </xf>
    <xf numFmtId="165" fontId="4" fillId="0" borderId="0" xfId="0" applyNumberFormat="1" applyFont="1" applyAlignment="1">
      <alignment horizontal="center"/>
    </xf>
    <xf numFmtId="42" fontId="5" fillId="0" borderId="0" xfId="0" applyNumberFormat="1" applyFont="1" applyAlignment="1">
      <alignment horizontal="right"/>
    </xf>
    <xf numFmtId="42" fontId="4" fillId="0" borderId="12" xfId="0" applyNumberFormat="1" applyFont="1" applyBorder="1" applyAlignment="1">
      <alignment horizontal="center"/>
    </xf>
    <xf numFmtId="172" fontId="4" fillId="0" borderId="0" xfId="0" applyNumberFormat="1" applyFont="1" applyAlignment="1">
      <alignment horizontal="right"/>
    </xf>
    <xf numFmtId="9" fontId="4" fillId="0" borderId="0" xfId="48" applyFont="1"/>
    <xf numFmtId="168" fontId="4" fillId="0" borderId="0" xfId="0" applyNumberFormat="1" applyFont="1" applyAlignment="1">
      <alignment horizontal="right"/>
    </xf>
    <xf numFmtId="43" fontId="4" fillId="0" borderId="0" xfId="1" applyFont="1" applyAlignment="1">
      <alignment horizontal="center"/>
    </xf>
    <xf numFmtId="166" fontId="4" fillId="0" borderId="0" xfId="48" applyNumberFormat="1" applyFont="1" applyAlignment="1">
      <alignment horizontal="center"/>
    </xf>
    <xf numFmtId="8" fontId="8" fillId="0" borderId="0" xfId="0" applyNumberFormat="1" applyFont="1"/>
    <xf numFmtId="0" fontId="8" fillId="0" borderId="0" xfId="0" applyFont="1"/>
    <xf numFmtId="10" fontId="4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5" fontId="9" fillId="0" borderId="2" xfId="0" applyNumberFormat="1" applyFont="1" applyBorder="1" applyAlignment="1">
      <alignment horizontal="center"/>
    </xf>
    <xf numFmtId="5" fontId="9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left"/>
    </xf>
    <xf numFmtId="164" fontId="10" fillId="0" borderId="0" xfId="8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14" fontId="9" fillId="0" borderId="5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64" fontId="9" fillId="0" borderId="0" xfId="8" applyNumberFormat="1" applyFont="1" applyBorder="1" applyAlignment="1">
      <alignment horizontal="center"/>
    </xf>
    <xf numFmtId="14" fontId="9" fillId="0" borderId="0" xfId="0" applyNumberFormat="1" applyFont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4" fontId="9" fillId="0" borderId="6" xfId="8" applyNumberFormat="1" applyFont="1" applyBorder="1" applyAlignment="1">
      <alignment horizontal="center"/>
    </xf>
    <xf numFmtId="14" fontId="9" fillId="0" borderId="6" xfId="0" applyNumberFormat="1" applyFont="1" applyBorder="1" applyAlignment="1">
      <alignment horizontal="center"/>
    </xf>
    <xf numFmtId="14" fontId="9" fillId="0" borderId="8" xfId="0" applyNumberFormat="1" applyFont="1" applyBorder="1" applyAlignment="1">
      <alignment horizontal="center"/>
    </xf>
    <xf numFmtId="42" fontId="10" fillId="0" borderId="0" xfId="8" applyNumberFormat="1" applyFont="1" applyBorder="1" applyAlignment="1">
      <alignment horizontal="center"/>
    </xf>
    <xf numFmtId="168" fontId="10" fillId="0" borderId="0" xfId="0" applyNumberFormat="1" applyFont="1" applyAlignment="1">
      <alignment horizontal="right"/>
    </xf>
    <xf numFmtId="42" fontId="10" fillId="0" borderId="0" xfId="8" applyNumberFormat="1" applyFont="1" applyAlignment="1">
      <alignment horizontal="center"/>
    </xf>
    <xf numFmtId="42" fontId="10" fillId="0" borderId="9" xfId="8" applyNumberFormat="1" applyFont="1" applyBorder="1" applyAlignment="1">
      <alignment horizontal="center"/>
    </xf>
    <xf numFmtId="164" fontId="10" fillId="0" borderId="0" xfId="8" applyNumberFormat="1" applyFont="1" applyAlignment="1">
      <alignment horizontal="center"/>
    </xf>
    <xf numFmtId="164" fontId="10" fillId="0" borderId="2" xfId="8" applyNumberFormat="1" applyFont="1" applyBorder="1" applyAlignment="1">
      <alignment horizontal="center"/>
    </xf>
    <xf numFmtId="164" fontId="9" fillId="0" borderId="2" xfId="23" applyNumberFormat="1" applyFont="1" applyBorder="1" applyAlignment="1">
      <alignment horizontal="right"/>
    </xf>
    <xf numFmtId="5" fontId="10" fillId="0" borderId="2" xfId="0" applyNumberFormat="1" applyFont="1" applyBorder="1" applyAlignment="1">
      <alignment horizontal="center"/>
    </xf>
    <xf numFmtId="164" fontId="9" fillId="0" borderId="0" xfId="23" applyNumberFormat="1" applyFont="1" applyBorder="1" applyAlignment="1">
      <alignment horizontal="right"/>
    </xf>
    <xf numFmtId="5" fontId="10" fillId="0" borderId="0" xfId="0" applyNumberFormat="1" applyFont="1" applyAlignment="1">
      <alignment horizontal="center"/>
    </xf>
    <xf numFmtId="0" fontId="10" fillId="0" borderId="6" xfId="0" applyFont="1" applyBorder="1" applyAlignment="1">
      <alignment horizontal="center"/>
    </xf>
    <xf numFmtId="5" fontId="9" fillId="0" borderId="6" xfId="0" applyNumberFormat="1" applyFont="1" applyBorder="1" applyAlignment="1">
      <alignment horizontal="center"/>
    </xf>
    <xf numFmtId="7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44" fontId="10" fillId="0" borderId="0" xfId="8" applyNumberFormat="1" applyFont="1" applyAlignment="1">
      <alignment horizontal="center"/>
    </xf>
    <xf numFmtId="9" fontId="4" fillId="0" borderId="2" xfId="48" applyFont="1" applyBorder="1" applyAlignment="1">
      <alignment horizontal="center"/>
    </xf>
    <xf numFmtId="9" fontId="4" fillId="0" borderId="0" xfId="48" applyFont="1" applyBorder="1" applyAlignment="1">
      <alignment horizontal="center"/>
    </xf>
    <xf numFmtId="9" fontId="5" fillId="0" borderId="0" xfId="48" applyFont="1" applyBorder="1" applyAlignment="1">
      <alignment horizontal="center"/>
    </xf>
    <xf numFmtId="9" fontId="5" fillId="0" borderId="6" xfId="48" applyFont="1" applyBorder="1" applyAlignment="1">
      <alignment horizontal="center"/>
    </xf>
    <xf numFmtId="0" fontId="11" fillId="0" borderId="0" xfId="0" applyFont="1" applyAlignment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42" fontId="12" fillId="0" borderId="0" xfId="8" applyNumberFormat="1" applyFont="1" applyAlignment="1">
      <alignment horizontal="center"/>
    </xf>
    <xf numFmtId="43" fontId="4" fillId="0" borderId="0" xfId="0" applyNumberFormat="1" applyFont="1" applyAlignment="1">
      <alignment horizontal="center"/>
    </xf>
    <xf numFmtId="4" fontId="13" fillId="0" borderId="0" xfId="0" applyNumberFormat="1" applyFont="1"/>
    <xf numFmtId="171" fontId="4" fillId="0" borderId="2" xfId="23" applyNumberFormat="1" applyFont="1" applyBorder="1" applyAlignment="1">
      <alignment horizontal="center"/>
    </xf>
    <xf numFmtId="171" fontId="4" fillId="0" borderId="0" xfId="23" applyNumberFormat="1" applyFont="1" applyBorder="1" applyAlignment="1">
      <alignment horizontal="center"/>
    </xf>
    <xf numFmtId="171" fontId="5" fillId="0" borderId="0" xfId="23" applyNumberFormat="1" applyFont="1" applyBorder="1" applyAlignment="1">
      <alignment horizontal="center"/>
    </xf>
    <xf numFmtId="171" fontId="4" fillId="0" borderId="0" xfId="0" applyNumberFormat="1" applyFont="1"/>
    <xf numFmtId="7" fontId="4" fillId="0" borderId="2" xfId="0" applyNumberFormat="1" applyFont="1" applyBorder="1" applyAlignment="1">
      <alignment horizontal="center"/>
    </xf>
    <xf numFmtId="164" fontId="5" fillId="0" borderId="0" xfId="0" applyNumberFormat="1" applyFont="1"/>
    <xf numFmtId="6" fontId="14" fillId="0" borderId="0" xfId="0" applyNumberFormat="1" applyFont="1"/>
    <xf numFmtId="14" fontId="10" fillId="0" borderId="0" xfId="0" applyNumberFormat="1" applyFont="1" applyAlignment="1">
      <alignment horizontal="right"/>
    </xf>
    <xf numFmtId="10" fontId="4" fillId="0" borderId="0" xfId="48" applyNumberFormat="1" applyFont="1" applyBorder="1" applyAlignment="1">
      <alignment horizontal="center"/>
    </xf>
    <xf numFmtId="0" fontId="4" fillId="0" borderId="0" xfId="0" applyFont="1" applyAlignment="1">
      <alignment horizontal="left" readingOrder="1"/>
    </xf>
    <xf numFmtId="167" fontId="4" fillId="0" borderId="0" xfId="0" applyNumberFormat="1" applyFont="1" applyAlignment="1">
      <alignment horizontal="center"/>
    </xf>
    <xf numFmtId="166" fontId="5" fillId="0" borderId="0" xfId="8" applyNumberFormat="1" applyFont="1" applyBorder="1" applyAlignment="1">
      <alignment horizontal="right"/>
    </xf>
    <xf numFmtId="167" fontId="5" fillId="0" borderId="0" xfId="0" applyNumberFormat="1" applyFont="1" applyAlignment="1">
      <alignment horizontal="center"/>
    </xf>
    <xf numFmtId="167" fontId="5" fillId="0" borderId="6" xfId="0" applyNumberFormat="1" applyFont="1" applyBorder="1" applyAlignment="1">
      <alignment horizontal="center"/>
    </xf>
    <xf numFmtId="164" fontId="5" fillId="0" borderId="6" xfId="8" applyNumberFormat="1" applyFont="1" applyBorder="1" applyAlignment="1">
      <alignment horizontal="right"/>
    </xf>
    <xf numFmtId="166" fontId="5" fillId="0" borderId="6" xfId="8" applyNumberFormat="1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14" fontId="6" fillId="0" borderId="0" xfId="0" applyNumberFormat="1" applyFont="1" applyAlignment="1">
      <alignment horizontal="center"/>
    </xf>
    <xf numFmtId="42" fontId="4" fillId="0" borderId="2" xfId="8" applyNumberFormat="1" applyFont="1" applyBorder="1" applyAlignment="1">
      <alignment horizontal="center"/>
    </xf>
    <xf numFmtId="42" fontId="5" fillId="0" borderId="6" xfId="8" applyNumberFormat="1" applyFont="1" applyBorder="1" applyAlignment="1">
      <alignment horizontal="center"/>
    </xf>
    <xf numFmtId="42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9" fillId="0" borderId="0" xfId="0" applyFont="1" applyAlignment="1">
      <alignment horizontal="left"/>
    </xf>
    <xf numFmtId="165" fontId="4" fillId="0" borderId="0" xfId="8" applyFont="1" applyAlignment="1">
      <alignment horizontal="left"/>
    </xf>
    <xf numFmtId="0" fontId="4" fillId="0" borderId="0" xfId="0" applyFont="1" applyAlignment="1">
      <alignment horizontal="right"/>
    </xf>
    <xf numFmtId="42" fontId="4" fillId="0" borderId="2" xfId="8" applyNumberFormat="1" applyFont="1" applyBorder="1" applyAlignment="1">
      <alignment horizontal="left"/>
    </xf>
    <xf numFmtId="174" fontId="4" fillId="0" borderId="0" xfId="8" applyNumberFormat="1" applyFont="1" applyAlignment="1">
      <alignment horizontal="center"/>
    </xf>
    <xf numFmtId="175" fontId="4" fillId="0" borderId="0" xfId="8" applyNumberFormat="1" applyFont="1" applyAlignment="1">
      <alignment horizontal="center"/>
    </xf>
    <xf numFmtId="0" fontId="4" fillId="0" borderId="1" xfId="0" applyFont="1" applyBorder="1" applyAlignment="1">
      <alignment horizontal="left"/>
    </xf>
    <xf numFmtId="14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4" fontId="4" fillId="0" borderId="6" xfId="8" applyNumberFormat="1" applyFont="1" applyBorder="1" applyAlignment="1">
      <alignment horizontal="center"/>
    </xf>
    <xf numFmtId="166" fontId="4" fillId="0" borderId="2" xfId="8" applyNumberFormat="1" applyFont="1" applyBorder="1" applyAlignment="1">
      <alignment horizontal="left"/>
    </xf>
    <xf numFmtId="166" fontId="4" fillId="0" borderId="0" xfId="8" applyNumberFormat="1" applyFont="1" applyBorder="1" applyAlignment="1">
      <alignment horizontal="left"/>
    </xf>
    <xf numFmtId="1" fontId="4" fillId="0" borderId="0" xfId="8" applyNumberFormat="1" applyFont="1" applyBorder="1" applyAlignment="1">
      <alignment horizontal="center"/>
    </xf>
    <xf numFmtId="5" fontId="4" fillId="0" borderId="6" xfId="0" applyNumberFormat="1" applyFont="1" applyBorder="1" applyAlignment="1">
      <alignment horizontal="center"/>
    </xf>
    <xf numFmtId="0" fontId="16" fillId="0" borderId="0" xfId="0" applyFont="1"/>
    <xf numFmtId="172" fontId="4" fillId="0" borderId="0" xfId="0" applyNumberFormat="1" applyFont="1" applyAlignment="1">
      <alignment horizontal="center"/>
    </xf>
    <xf numFmtId="3" fontId="17" fillId="0" borderId="0" xfId="0" applyNumberFormat="1" applyFont="1"/>
    <xf numFmtId="5" fontId="4" fillId="0" borderId="0" xfId="0" applyNumberFormat="1" applyFont="1"/>
    <xf numFmtId="10" fontId="5" fillId="0" borderId="0" xfId="0" applyNumberFormat="1" applyFont="1" applyAlignment="1">
      <alignment horizontal="center"/>
    </xf>
    <xf numFmtId="164" fontId="4" fillId="0" borderId="13" xfId="8" applyNumberFormat="1" applyFont="1" applyBorder="1" applyAlignment="1">
      <alignment horizontal="center"/>
    </xf>
    <xf numFmtId="166" fontId="4" fillId="0" borderId="0" xfId="0" applyNumberFormat="1" applyFont="1"/>
    <xf numFmtId="164" fontId="10" fillId="0" borderId="0" xfId="8" applyNumberFormat="1" applyFont="1" applyAlignment="1"/>
    <xf numFmtId="14" fontId="5" fillId="0" borderId="0" xfId="0" applyNumberFormat="1" applyFont="1" applyAlignment="1">
      <alignment horizontal="left"/>
    </xf>
    <xf numFmtId="164" fontId="4" fillId="0" borderId="14" xfId="8" applyNumberFormat="1" applyFont="1" applyBorder="1" applyAlignment="1">
      <alignment horizontal="center"/>
    </xf>
    <xf numFmtId="170" fontId="4" fillId="0" borderId="0" xfId="48" applyNumberFormat="1" applyFont="1"/>
    <xf numFmtId="42" fontId="5" fillId="0" borderId="9" xfId="8" applyNumberFormat="1" applyFont="1" applyBorder="1" applyAlignment="1">
      <alignment horizontal="center"/>
    </xf>
    <xf numFmtId="5" fontId="4" fillId="0" borderId="2" xfId="0" applyNumberFormat="1" applyFont="1" applyBorder="1" applyAlignment="1">
      <alignment horizontal="left"/>
    </xf>
    <xf numFmtId="0" fontId="4" fillId="0" borderId="6" xfId="0" applyFont="1" applyBorder="1" applyAlignment="1">
      <alignment horizontal="left"/>
    </xf>
    <xf numFmtId="165" fontId="4" fillId="0" borderId="6" xfId="8" applyFont="1" applyBorder="1" applyAlignment="1">
      <alignment horizontal="right"/>
    </xf>
    <xf numFmtId="164" fontId="4" fillId="0" borderId="6" xfId="8" applyNumberFormat="1" applyFont="1" applyBorder="1" applyAlignment="1">
      <alignment horizontal="center"/>
    </xf>
    <xf numFmtId="44" fontId="5" fillId="0" borderId="0" xfId="0" applyNumberFormat="1" applyFont="1"/>
    <xf numFmtId="165" fontId="4" fillId="0" borderId="0" xfId="8" applyFont="1" applyAlignment="1"/>
    <xf numFmtId="14" fontId="4" fillId="0" borderId="0" xfId="8" applyNumberFormat="1" applyFont="1" applyAlignment="1">
      <alignment horizontal="center"/>
    </xf>
    <xf numFmtId="170" fontId="4" fillId="0" borderId="0" xfId="48" applyNumberFormat="1" applyFont="1" applyAlignment="1">
      <alignment horizontal="center"/>
    </xf>
    <xf numFmtId="170" fontId="10" fillId="0" borderId="0" xfId="48" applyNumberFormat="1" applyFont="1" applyAlignment="1">
      <alignment horizontal="center"/>
    </xf>
    <xf numFmtId="14" fontId="5" fillId="0" borderId="0" xfId="8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readingOrder="1"/>
    </xf>
    <xf numFmtId="42" fontId="12" fillId="0" borderId="0" xfId="8" applyNumberFormat="1" applyFont="1" applyBorder="1" applyAlignment="1">
      <alignment horizontal="center"/>
    </xf>
    <xf numFmtId="14" fontId="18" fillId="0" borderId="0" xfId="0" applyNumberFormat="1" applyFont="1" applyAlignment="1">
      <alignment horizontal="center"/>
    </xf>
    <xf numFmtId="168" fontId="12" fillId="0" borderId="0" xfId="0" applyNumberFormat="1" applyFont="1" applyAlignment="1">
      <alignment horizontal="right"/>
    </xf>
    <xf numFmtId="164" fontId="12" fillId="0" borderId="0" xfId="8" applyNumberFormat="1" applyFont="1" applyAlignment="1">
      <alignment horizontal="right"/>
    </xf>
    <xf numFmtId="164" fontId="5" fillId="0" borderId="0" xfId="0" applyNumberFormat="1" applyFont="1" applyAlignment="1">
      <alignment horizontal="left"/>
    </xf>
    <xf numFmtId="5" fontId="4" fillId="0" borderId="0" xfId="0" applyNumberFormat="1" applyFont="1" applyAlignment="1">
      <alignment horizontal="left"/>
    </xf>
    <xf numFmtId="6" fontId="4" fillId="0" borderId="0" xfId="8" applyNumberFormat="1" applyFont="1"/>
    <xf numFmtId="42" fontId="4" fillId="0" borderId="0" xfId="0" applyNumberFormat="1" applyFont="1" applyAlignment="1">
      <alignment horizontal="right"/>
    </xf>
    <xf numFmtId="164" fontId="4" fillId="0" borderId="0" xfId="48" applyNumberFormat="1" applyFont="1" applyAlignment="1">
      <alignment horizontal="center"/>
    </xf>
    <xf numFmtId="166" fontId="5" fillId="0" borderId="9" xfId="0" applyNumberFormat="1" applyFont="1" applyBorder="1"/>
    <xf numFmtId="166" fontId="4" fillId="0" borderId="0" xfId="8" applyNumberFormat="1" applyFont="1" applyFill="1"/>
    <xf numFmtId="165" fontId="4" fillId="0" borderId="0" xfId="8" applyFont="1" applyFill="1"/>
    <xf numFmtId="164" fontId="5" fillId="0" borderId="15" xfId="8" applyNumberFormat="1" applyFont="1" applyFill="1" applyBorder="1" applyAlignment="1">
      <alignment horizontal="center"/>
    </xf>
    <xf numFmtId="0" fontId="5" fillId="0" borderId="15" xfId="0" applyFont="1" applyBorder="1" applyAlignment="1">
      <alignment horizontal="left"/>
    </xf>
    <xf numFmtId="164" fontId="4" fillId="0" borderId="0" xfId="8" applyNumberFormat="1" applyFont="1"/>
    <xf numFmtId="165" fontId="16" fillId="0" borderId="0" xfId="8" applyFont="1"/>
    <xf numFmtId="176" fontId="4" fillId="0" borderId="0" xfId="0" applyNumberFormat="1" applyFont="1"/>
    <xf numFmtId="166" fontId="5" fillId="0" borderId="2" xfId="8" applyNumberFormat="1" applyFont="1" applyBorder="1" applyAlignment="1">
      <alignment horizontal="center"/>
    </xf>
    <xf numFmtId="178" fontId="4" fillId="0" borderId="0" xfId="1" applyNumberFormat="1" applyFont="1" applyAlignment="1">
      <alignment horizontal="center"/>
    </xf>
    <xf numFmtId="14" fontId="4" fillId="0" borderId="0" xfId="0" applyNumberFormat="1" applyFont="1" applyAlignment="1">
      <alignment horizontal="right"/>
    </xf>
    <xf numFmtId="179" fontId="4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right"/>
    </xf>
    <xf numFmtId="42" fontId="9" fillId="0" borderId="0" xfId="8" applyNumberFormat="1" applyFont="1" applyBorder="1" applyAlignment="1">
      <alignment horizontal="center"/>
    </xf>
    <xf numFmtId="42" fontId="9" fillId="0" borderId="0" xfId="0" applyNumberFormat="1" applyFont="1" applyAlignment="1">
      <alignment horizontal="center"/>
    </xf>
    <xf numFmtId="0" fontId="9" fillId="0" borderId="0" xfId="0" applyFont="1"/>
    <xf numFmtId="164" fontId="4" fillId="0" borderId="13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5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5" fontId="11" fillId="0" borderId="6" xfId="0" applyNumberFormat="1" applyFont="1" applyBorder="1" applyAlignment="1">
      <alignment horizontal="center"/>
    </xf>
    <xf numFmtId="5" fontId="11" fillId="0" borderId="6" xfId="0" applyNumberFormat="1" applyFont="1" applyBorder="1" applyAlignment="1">
      <alignment horizontal="left"/>
    </xf>
    <xf numFmtId="5" fontId="11" fillId="0" borderId="0" xfId="0" applyNumberFormat="1" applyFont="1" applyAlignment="1">
      <alignment horizontal="left"/>
    </xf>
    <xf numFmtId="0" fontId="22" fillId="0" borderId="1" xfId="0" applyFont="1" applyBorder="1"/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/>
    <xf numFmtId="42" fontId="12" fillId="0" borderId="2" xfId="0" applyNumberFormat="1" applyFont="1" applyBorder="1"/>
    <xf numFmtId="0" fontId="5" fillId="0" borderId="16" xfId="0" applyFont="1" applyBorder="1"/>
    <xf numFmtId="166" fontId="11" fillId="0" borderId="2" xfId="8" applyNumberFormat="1" applyFont="1" applyBorder="1"/>
    <xf numFmtId="169" fontId="4" fillId="0" borderId="0" xfId="8" applyNumberFormat="1" applyFont="1" applyAlignment="1">
      <alignment horizontal="center"/>
    </xf>
    <xf numFmtId="44" fontId="4" fillId="0" borderId="0" xfId="8" applyNumberFormat="1" applyFont="1" applyAlignment="1">
      <alignment horizontal="right"/>
    </xf>
    <xf numFmtId="42" fontId="4" fillId="0" borderId="0" xfId="8" applyNumberFormat="1" applyFont="1" applyBorder="1" applyAlignment="1">
      <alignment horizontal="left"/>
    </xf>
    <xf numFmtId="0" fontId="5" fillId="0" borderId="4" xfId="0" applyFont="1" applyBorder="1" applyAlignment="1">
      <alignment horizontal="right"/>
    </xf>
    <xf numFmtId="6" fontId="5" fillId="0" borderId="0" xfId="0" applyNumberFormat="1" applyFont="1" applyAlignment="1">
      <alignment horizontal="right"/>
    </xf>
    <xf numFmtId="42" fontId="4" fillId="0" borderId="0" xfId="8" applyNumberFormat="1" applyFont="1" applyBorder="1"/>
    <xf numFmtId="6" fontId="4" fillId="0" borderId="0" xfId="0" applyNumberFormat="1" applyFont="1" applyAlignment="1">
      <alignment horizontal="right"/>
    </xf>
    <xf numFmtId="6" fontId="5" fillId="0" borderId="0" xfId="0" applyNumberFormat="1" applyFont="1"/>
    <xf numFmtId="177" fontId="4" fillId="0" borderId="0" xfId="0" applyNumberFormat="1" applyFont="1" applyAlignment="1">
      <alignment horizontal="left"/>
    </xf>
    <xf numFmtId="165" fontId="4" fillId="0" borderId="0" xfId="8" applyFont="1"/>
    <xf numFmtId="165" fontId="4" fillId="0" borderId="0" xfId="0" applyNumberFormat="1" applyFont="1"/>
    <xf numFmtId="42" fontId="5" fillId="0" borderId="0" xfId="8" applyNumberFormat="1" applyFont="1"/>
    <xf numFmtId="164" fontId="19" fillId="0" borderId="0" xfId="0" applyNumberFormat="1" applyFont="1"/>
    <xf numFmtId="0" fontId="5" fillId="0" borderId="16" xfId="0" applyFont="1" applyBorder="1" applyAlignment="1">
      <alignment horizontal="left" vertical="center"/>
    </xf>
    <xf numFmtId="14" fontId="5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42" fontId="4" fillId="0" borderId="0" xfId="8" applyNumberFormat="1" applyFont="1"/>
    <xf numFmtId="178" fontId="4" fillId="0" borderId="0" xfId="1" applyNumberFormat="1" applyFont="1"/>
    <xf numFmtId="176" fontId="4" fillId="0" borderId="0" xfId="0" applyNumberFormat="1" applyFont="1" applyAlignment="1">
      <alignment horizontal="center"/>
    </xf>
    <xf numFmtId="164" fontId="17" fillId="0" borderId="0" xfId="0" applyNumberFormat="1" applyFont="1"/>
    <xf numFmtId="164" fontId="5" fillId="0" borderId="8" xfId="0" applyNumberFormat="1" applyFont="1" applyBorder="1" applyAlignment="1">
      <alignment horizontal="center"/>
    </xf>
    <xf numFmtId="42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166" fontId="12" fillId="0" borderId="2" xfId="8" applyNumberFormat="1" applyFont="1" applyBorder="1" applyAlignment="1">
      <alignment horizontal="right"/>
    </xf>
    <xf numFmtId="42" fontId="11" fillId="0" borderId="0" xfId="8" applyNumberFormat="1" applyFont="1" applyBorder="1" applyAlignment="1">
      <alignment horizontal="right"/>
    </xf>
    <xf numFmtId="14" fontId="11" fillId="0" borderId="0" xfId="0" applyNumberFormat="1" applyFont="1" applyAlignment="1">
      <alignment horizontal="right"/>
    </xf>
    <xf numFmtId="166" fontId="11" fillId="0" borderId="0" xfId="8" applyNumberFormat="1" applyFont="1" applyBorder="1" applyAlignment="1">
      <alignment horizontal="right"/>
    </xf>
    <xf numFmtId="42" fontId="11" fillId="0" borderId="0" xfId="0" applyNumberFormat="1" applyFont="1" applyAlignment="1">
      <alignment horizontal="right"/>
    </xf>
    <xf numFmtId="42" fontId="11" fillId="0" borderId="6" xfId="8" applyNumberFormat="1" applyFont="1" applyBorder="1" applyAlignment="1">
      <alignment horizontal="right"/>
    </xf>
    <xf numFmtId="14" fontId="11" fillId="0" borderId="6" xfId="0" applyNumberFormat="1" applyFont="1" applyBorder="1" applyAlignment="1">
      <alignment horizontal="right"/>
    </xf>
    <xf numFmtId="166" fontId="11" fillId="0" borderId="6" xfId="8" applyNumberFormat="1" applyFont="1" applyBorder="1" applyAlignment="1">
      <alignment horizontal="right"/>
    </xf>
    <xf numFmtId="0" fontId="0" fillId="0" borderId="0" xfId="0" applyAlignment="1">
      <alignment horizontal="right"/>
    </xf>
    <xf numFmtId="42" fontId="0" fillId="0" borderId="0" xfId="8" applyNumberFormat="1" applyFont="1" applyAlignment="1">
      <alignment horizontal="right"/>
    </xf>
    <xf numFmtId="0" fontId="4" fillId="0" borderId="2" xfId="0" applyFont="1" applyBorder="1" applyAlignment="1">
      <alignment horizontal="right"/>
    </xf>
    <xf numFmtId="1" fontId="11" fillId="0" borderId="6" xfId="8" applyNumberFormat="1" applyFont="1" applyBorder="1" applyAlignment="1">
      <alignment horizontal="right"/>
    </xf>
    <xf numFmtId="42" fontId="11" fillId="0" borderId="6" xfId="0" applyNumberFormat="1" applyFont="1" applyBorder="1" applyAlignment="1">
      <alignment horizontal="right"/>
    </xf>
    <xf numFmtId="42" fontId="0" fillId="0" borderId="0" xfId="0" applyNumberFormat="1" applyAlignment="1">
      <alignment horizontal="right"/>
    </xf>
    <xf numFmtId="42" fontId="5" fillId="0" borderId="9" xfId="0" applyNumberFormat="1" applyFont="1" applyBorder="1" applyAlignment="1">
      <alignment horizontal="right"/>
    </xf>
    <xf numFmtId="0" fontId="1" fillId="0" borderId="0" xfId="0" applyFont="1"/>
    <xf numFmtId="164" fontId="4" fillId="0" borderId="0" xfId="19" applyNumberFormat="1" applyFont="1" applyBorder="1" applyAlignment="1">
      <alignment horizontal="center"/>
    </xf>
    <xf numFmtId="43" fontId="4" fillId="0" borderId="0" xfId="1" applyFont="1"/>
    <xf numFmtId="42" fontId="4" fillId="0" borderId="0" xfId="1" applyNumberFormat="1" applyFont="1"/>
    <xf numFmtId="0" fontId="12" fillId="0" borderId="3" xfId="0" applyFont="1" applyBorder="1"/>
    <xf numFmtId="14" fontId="11" fillId="0" borderId="5" xfId="0" applyNumberFormat="1" applyFont="1" applyBorder="1"/>
    <xf numFmtId="14" fontId="11" fillId="0" borderId="8" xfId="0" applyNumberFormat="1" applyFont="1" applyBorder="1"/>
    <xf numFmtId="0" fontId="4" fillId="0" borderId="3" xfId="0" applyFont="1" applyBorder="1"/>
    <xf numFmtId="164" fontId="4" fillId="0" borderId="0" xfId="23" applyNumberFormat="1" applyFont="1" applyBorder="1" applyAlignment="1">
      <alignment horizontal="right"/>
    </xf>
    <xf numFmtId="178" fontId="4" fillId="0" borderId="0" xfId="1" applyNumberFormat="1" applyFont="1" applyBorder="1" applyAlignment="1">
      <alignment horizontal="right"/>
    </xf>
    <xf numFmtId="42" fontId="5" fillId="0" borderId="0" xfId="1" applyNumberFormat="1" applyFont="1"/>
    <xf numFmtId="166" fontId="5" fillId="0" borderId="0" xfId="8" applyNumberFormat="1" applyFont="1" applyBorder="1"/>
    <xf numFmtId="180" fontId="4" fillId="0" borderId="0" xfId="0" applyNumberFormat="1" applyFont="1" applyAlignment="1">
      <alignment horizontal="center"/>
    </xf>
    <xf numFmtId="164" fontId="5" fillId="0" borderId="0" xfId="1" applyNumberFormat="1" applyFont="1"/>
    <xf numFmtId="178" fontId="4" fillId="0" borderId="0" xfId="1" applyNumberFormat="1" applyFont="1" applyBorder="1"/>
    <xf numFmtId="166" fontId="4" fillId="0" borderId="0" xfId="48" applyNumberFormat="1" applyFont="1"/>
    <xf numFmtId="178" fontId="4" fillId="0" borderId="0" xfId="48" applyNumberFormat="1" applyFont="1"/>
    <xf numFmtId="164" fontId="0" fillId="0" borderId="0" xfId="0" applyNumberFormat="1"/>
    <xf numFmtId="164" fontId="5" fillId="0" borderId="9" xfId="0" applyNumberFormat="1" applyFont="1" applyBorder="1" applyAlignment="1">
      <alignment horizontal="right"/>
    </xf>
    <xf numFmtId="166" fontId="5" fillId="0" borderId="0" xfId="8" applyNumberFormat="1" applyFont="1"/>
    <xf numFmtId="164" fontId="4" fillId="0" borderId="0" xfId="48" applyNumberFormat="1" applyFont="1"/>
    <xf numFmtId="0" fontId="5" fillId="0" borderId="11" xfId="0" applyFont="1" applyBorder="1"/>
    <xf numFmtId="164" fontId="5" fillId="0" borderId="9" xfId="1" applyNumberFormat="1" applyFont="1" applyBorder="1"/>
    <xf numFmtId="43" fontId="0" fillId="0" borderId="0" xfId="1" applyFont="1"/>
    <xf numFmtId="43" fontId="0" fillId="0" borderId="0" xfId="0" applyNumberFormat="1"/>
    <xf numFmtId="0" fontId="4" fillId="0" borderId="17" xfId="0" applyFont="1" applyBorder="1"/>
    <xf numFmtId="0" fontId="4" fillId="0" borderId="18" xfId="0" applyFont="1" applyBorder="1"/>
    <xf numFmtId="0" fontId="15" fillId="0" borderId="0" xfId="0" applyFont="1"/>
    <xf numFmtId="44" fontId="0" fillId="0" borderId="0" xfId="0" applyNumberFormat="1"/>
    <xf numFmtId="164" fontId="5" fillId="0" borderId="19" xfId="0" applyNumberFormat="1" applyFont="1" applyBorder="1" applyAlignment="1">
      <alignment horizontal="right"/>
    </xf>
    <xf numFmtId="164" fontId="5" fillId="0" borderId="9" xfId="8" applyNumberFormat="1" applyFont="1" applyBorder="1" applyAlignment="1">
      <alignment horizontal="center"/>
    </xf>
    <xf numFmtId="42" fontId="9" fillId="0" borderId="9" xfId="8" applyNumberFormat="1" applyFont="1" applyBorder="1" applyAlignment="1">
      <alignment horizontal="center"/>
    </xf>
    <xf numFmtId="5" fontId="5" fillId="0" borderId="9" xfId="0" applyNumberFormat="1" applyFont="1" applyBorder="1"/>
    <xf numFmtId="42" fontId="4" fillId="0" borderId="0" xfId="19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14" fontId="0" fillId="0" borderId="0" xfId="0" applyNumberFormat="1"/>
    <xf numFmtId="2" fontId="6" fillId="0" borderId="0" xfId="0" applyNumberFormat="1" applyFont="1" applyAlignment="1">
      <alignment horizontal="center"/>
    </xf>
    <xf numFmtId="44" fontId="5" fillId="0" borderId="0" xfId="8" applyNumberFormat="1" applyFont="1" applyAlignment="1">
      <alignment horizontal="right"/>
    </xf>
    <xf numFmtId="0" fontId="26" fillId="0" borderId="0" xfId="0" applyFont="1"/>
    <xf numFmtId="178" fontId="4" fillId="0" borderId="0" xfId="1" applyNumberFormat="1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9" fontId="5" fillId="0" borderId="2" xfId="48" applyFont="1" applyBorder="1" applyAlignment="1">
      <alignment horizontal="center"/>
    </xf>
    <xf numFmtId="178" fontId="0" fillId="0" borderId="0" xfId="1" applyNumberFormat="1" applyFont="1"/>
    <xf numFmtId="178" fontId="0" fillId="0" borderId="0" xfId="0" applyNumberFormat="1"/>
    <xf numFmtId="43" fontId="4" fillId="0" borderId="0" xfId="0" applyNumberFormat="1" applyFont="1"/>
    <xf numFmtId="178" fontId="4" fillId="0" borderId="0" xfId="1" applyNumberFormat="1" applyFont="1" applyAlignment="1">
      <alignment horizontal="right"/>
    </xf>
    <xf numFmtId="172" fontId="4" fillId="0" borderId="0" xfId="0" applyNumberFormat="1" applyFont="1"/>
    <xf numFmtId="165" fontId="6" fillId="0" borderId="0" xfId="8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44" fontId="5" fillId="0" borderId="0" xfId="23" applyFont="1" applyBorder="1" applyAlignment="1">
      <alignment horizontal="center"/>
    </xf>
    <xf numFmtId="166" fontId="4" fillId="0" borderId="9" xfId="8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181" fontId="4" fillId="0" borderId="0" xfId="0" applyNumberFormat="1" applyFont="1"/>
    <xf numFmtId="14" fontId="4" fillId="0" borderId="0" xfId="8" applyNumberFormat="1" applyFont="1"/>
    <xf numFmtId="43" fontId="7" fillId="0" borderId="0" xfId="1" applyFont="1" applyBorder="1"/>
    <xf numFmtId="44" fontId="4" fillId="0" borderId="0" xfId="48" applyNumberFormat="1" applyFont="1"/>
    <xf numFmtId="4" fontId="7" fillId="0" borderId="0" xfId="0" applyNumberFormat="1" applyFont="1"/>
    <xf numFmtId="44" fontId="5" fillId="0" borderId="0" xfId="0" applyNumberFormat="1" applyFont="1" applyAlignment="1">
      <alignment horizontal="right"/>
    </xf>
    <xf numFmtId="0" fontId="26" fillId="0" borderId="0" xfId="0" applyFont="1" applyAlignment="1">
      <alignment horizontal="center"/>
    </xf>
    <xf numFmtId="44" fontId="4" fillId="0" borderId="0" xfId="8" applyNumberFormat="1" applyFont="1"/>
    <xf numFmtId="173" fontId="5" fillId="0" borderId="0" xfId="48" applyNumberFormat="1" applyFont="1" applyAlignment="1">
      <alignment horizontal="center"/>
    </xf>
    <xf numFmtId="182" fontId="5" fillId="0" borderId="0" xfId="48" applyNumberFormat="1" applyFont="1" applyAlignment="1">
      <alignment horizontal="center"/>
    </xf>
    <xf numFmtId="173" fontId="4" fillId="0" borderId="0" xfId="48" applyNumberFormat="1" applyFont="1" applyAlignment="1">
      <alignment horizontal="center"/>
    </xf>
    <xf numFmtId="182" fontId="4" fillId="0" borderId="0" xfId="48" applyNumberFormat="1" applyFont="1" applyAlignment="1">
      <alignment horizontal="center"/>
    </xf>
    <xf numFmtId="168" fontId="4" fillId="0" borderId="0" xfId="0" applyNumberFormat="1" applyFont="1" applyAlignment="1">
      <alignment horizontal="center"/>
    </xf>
    <xf numFmtId="166" fontId="4" fillId="0" borderId="9" xfId="8" applyNumberFormat="1" applyFont="1" applyBorder="1" applyAlignment="1">
      <alignment horizontal="center"/>
    </xf>
    <xf numFmtId="0" fontId="27" fillId="0" borderId="0" xfId="0" applyFont="1" applyAlignment="1">
      <alignment horizontal="left"/>
    </xf>
    <xf numFmtId="166" fontId="4" fillId="0" borderId="0" xfId="23" applyNumberFormat="1" applyFont="1" applyBorder="1" applyAlignment="1">
      <alignment horizontal="right"/>
    </xf>
    <xf numFmtId="166" fontId="4" fillId="0" borderId="0" xfId="19" applyNumberFormat="1" applyFont="1" applyBorder="1" applyAlignment="1">
      <alignment horizontal="right"/>
    </xf>
    <xf numFmtId="178" fontId="23" fillId="0" borderId="0" xfId="1" applyNumberFormat="1" applyFont="1" applyBorder="1" applyAlignment="1">
      <alignment horizontal="center"/>
    </xf>
    <xf numFmtId="166" fontId="4" fillId="0" borderId="0" xfId="19" applyNumberFormat="1" applyFont="1"/>
    <xf numFmtId="5" fontId="4" fillId="0" borderId="2" xfId="0" applyNumberFormat="1" applyFont="1" applyBorder="1" applyAlignment="1">
      <alignment horizontal="right"/>
    </xf>
    <xf numFmtId="178" fontId="4" fillId="0" borderId="0" xfId="1" applyNumberFormat="1" applyFont="1" applyAlignment="1"/>
    <xf numFmtId="166" fontId="4" fillId="0" borderId="0" xfId="1" applyNumberFormat="1" applyFont="1"/>
    <xf numFmtId="164" fontId="5" fillId="0" borderId="0" xfId="8" applyNumberFormat="1" applyFont="1" applyBorder="1" applyAlignment="1">
      <alignment horizontal="right"/>
    </xf>
    <xf numFmtId="0" fontId="5" fillId="0" borderId="6" xfId="0" applyFont="1" applyBorder="1" applyAlignment="1">
      <alignment horizontal="left"/>
    </xf>
    <xf numFmtId="14" fontId="5" fillId="0" borderId="6" xfId="0" applyNumberFormat="1" applyFont="1" applyBorder="1" applyAlignment="1">
      <alignment horizontal="right"/>
    </xf>
    <xf numFmtId="0" fontId="5" fillId="0" borderId="0" xfId="8" applyNumberFormat="1" applyFont="1" applyAlignment="1">
      <alignment horizontal="center"/>
    </xf>
    <xf numFmtId="166" fontId="5" fillId="0" borderId="0" xfId="8" applyNumberFormat="1" applyFont="1" applyAlignment="1">
      <alignment horizontal="center"/>
    </xf>
    <xf numFmtId="0" fontId="5" fillId="0" borderId="1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42" fontId="5" fillId="0" borderId="2" xfId="0" applyNumberFormat="1" applyFont="1" applyBorder="1" applyAlignment="1">
      <alignment horizontal="right"/>
    </xf>
    <xf numFmtId="6" fontId="5" fillId="0" borderId="2" xfId="0" applyNumberFormat="1" applyFont="1" applyBorder="1" applyAlignment="1">
      <alignment horizontal="right"/>
    </xf>
    <xf numFmtId="169" fontId="5" fillId="0" borderId="2" xfId="0" applyNumberFormat="1" applyFont="1" applyBorder="1" applyAlignment="1">
      <alignment horizontal="right"/>
    </xf>
    <xf numFmtId="44" fontId="5" fillId="0" borderId="2" xfId="0" applyNumberFormat="1" applyFont="1" applyBorder="1" applyAlignment="1">
      <alignment horizontal="right"/>
    </xf>
    <xf numFmtId="42" fontId="4" fillId="0" borderId="2" xfId="0" applyNumberFormat="1" applyFont="1" applyBorder="1" applyAlignment="1">
      <alignment horizontal="right"/>
    </xf>
    <xf numFmtId="42" fontId="4" fillId="0" borderId="2" xfId="8" applyNumberFormat="1" applyFont="1" applyBorder="1"/>
    <xf numFmtId="42" fontId="4" fillId="0" borderId="3" xfId="8" applyNumberFormat="1" applyFont="1" applyBorder="1"/>
    <xf numFmtId="42" fontId="4" fillId="0" borderId="3" xfId="0" applyNumberFormat="1" applyFont="1" applyBorder="1"/>
    <xf numFmtId="169" fontId="5" fillId="0" borderId="0" xfId="0" applyNumberFormat="1" applyFont="1" applyAlignment="1">
      <alignment horizontal="right"/>
    </xf>
    <xf numFmtId="42" fontId="4" fillId="0" borderId="5" xfId="8" applyNumberFormat="1" applyFont="1" applyBorder="1"/>
    <xf numFmtId="42" fontId="4" fillId="0" borderId="5" xfId="0" applyNumberFormat="1" applyFont="1" applyBorder="1"/>
    <xf numFmtId="0" fontId="5" fillId="0" borderId="7" xfId="0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42" fontId="5" fillId="0" borderId="6" xfId="0" applyNumberFormat="1" applyFont="1" applyBorder="1" applyAlignment="1">
      <alignment horizontal="right"/>
    </xf>
    <xf numFmtId="42" fontId="5" fillId="0" borderId="20" xfId="0" applyNumberFormat="1" applyFont="1" applyBorder="1" applyAlignment="1">
      <alignment horizontal="right"/>
    </xf>
    <xf numFmtId="44" fontId="5" fillId="0" borderId="20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4" fontId="4" fillId="0" borderId="20" xfId="8" applyNumberFormat="1" applyFont="1" applyBorder="1"/>
    <xf numFmtId="42" fontId="4" fillId="0" borderId="20" xfId="8" applyNumberFormat="1" applyFont="1" applyBorder="1"/>
    <xf numFmtId="42" fontId="4" fillId="0" borderId="21" xfId="8" applyNumberFormat="1" applyFont="1" applyBorder="1"/>
    <xf numFmtId="170" fontId="5" fillId="0" borderId="0" xfId="48" applyNumberFormat="1" applyFont="1" applyBorder="1" applyAlignment="1">
      <alignment horizontal="right"/>
    </xf>
    <xf numFmtId="10" fontId="5" fillId="0" borderId="0" xfId="48" applyNumberFormat="1" applyFont="1" applyBorder="1" applyAlignment="1">
      <alignment horizontal="right"/>
    </xf>
    <xf numFmtId="42" fontId="4" fillId="0" borderId="22" xfId="0" applyNumberFormat="1" applyFont="1" applyBorder="1"/>
    <xf numFmtId="0" fontId="5" fillId="0" borderId="6" xfId="0" applyFont="1" applyBorder="1" applyAlignment="1">
      <alignment horizontal="right"/>
    </xf>
    <xf numFmtId="42" fontId="4" fillId="0" borderId="6" xfId="8" applyNumberFormat="1" applyFont="1" applyBorder="1"/>
    <xf numFmtId="42" fontId="4" fillId="0" borderId="8" xfId="8" applyNumberFormat="1" applyFont="1" applyBorder="1"/>
    <xf numFmtId="42" fontId="4" fillId="0" borderId="22" xfId="8" applyNumberFormat="1" applyFont="1" applyBorder="1"/>
    <xf numFmtId="44" fontId="4" fillId="0" borderId="0" xfId="8" applyNumberFormat="1" applyFont="1" applyBorder="1" applyAlignment="1">
      <alignment horizontal="right"/>
    </xf>
    <xf numFmtId="0" fontId="4" fillId="0" borderId="4" xfId="0" applyFont="1" applyBorder="1"/>
    <xf numFmtId="169" fontId="4" fillId="0" borderId="0" xfId="0" applyNumberFormat="1" applyFont="1"/>
    <xf numFmtId="42" fontId="23" fillId="0" borderId="0" xfId="8" applyNumberFormat="1" applyFont="1" applyBorder="1"/>
    <xf numFmtId="166" fontId="4" fillId="0" borderId="0" xfId="8" applyNumberFormat="1" applyFont="1" applyBorder="1"/>
    <xf numFmtId="0" fontId="4" fillId="0" borderId="23" xfId="0" applyFont="1" applyBorder="1"/>
    <xf numFmtId="42" fontId="4" fillId="0" borderId="20" xfId="0" applyNumberFormat="1" applyFont="1" applyBorder="1"/>
    <xf numFmtId="42" fontId="4" fillId="0" borderId="21" xfId="0" applyNumberFormat="1" applyFont="1" applyBorder="1"/>
    <xf numFmtId="42" fontId="4" fillId="0" borderId="12" xfId="0" applyNumberFormat="1" applyFont="1" applyBorder="1"/>
    <xf numFmtId="42" fontId="4" fillId="0" borderId="24" xfId="0" applyNumberFormat="1" applyFont="1" applyBorder="1"/>
    <xf numFmtId="42" fontId="0" fillId="0" borderId="0" xfId="0" applyNumberFormat="1"/>
    <xf numFmtId="164" fontId="8" fillId="0" borderId="0" xfId="0" applyNumberFormat="1" applyFont="1"/>
    <xf numFmtId="42" fontId="4" fillId="0" borderId="0" xfId="48" applyNumberFormat="1" applyFont="1"/>
    <xf numFmtId="0" fontId="24" fillId="0" borderId="0" xfId="0" applyFont="1"/>
    <xf numFmtId="42" fontId="4" fillId="0" borderId="9" xfId="48" applyNumberFormat="1" applyFont="1" applyBorder="1"/>
    <xf numFmtId="170" fontId="4" fillId="0" borderId="9" xfId="48" applyNumberFormat="1" applyFont="1" applyBorder="1"/>
    <xf numFmtId="8" fontId="24" fillId="0" borderId="0" xfId="0" applyNumberFormat="1" applyFont="1"/>
    <xf numFmtId="8" fontId="4" fillId="0" borderId="0" xfId="0" applyNumberFormat="1" applyFont="1"/>
    <xf numFmtId="42" fontId="0" fillId="0" borderId="0" xfId="8" applyNumberFormat="1" applyFont="1"/>
    <xf numFmtId="165" fontId="0" fillId="0" borderId="0" xfId="8" applyFont="1"/>
    <xf numFmtId="0" fontId="1" fillId="0" borderId="0" xfId="0" applyFont="1" applyAlignment="1">
      <alignment horizontal="right"/>
    </xf>
    <xf numFmtId="166" fontId="5" fillId="0" borderId="2" xfId="8" applyNumberFormat="1" applyFont="1" applyBorder="1" applyAlignment="1">
      <alignment horizontal="right"/>
    </xf>
    <xf numFmtId="178" fontId="4" fillId="0" borderId="0" xfId="1" applyNumberFormat="1" applyFont="1" applyAlignment="1">
      <alignment horizontal="left"/>
    </xf>
    <xf numFmtId="178" fontId="5" fillId="0" borderId="0" xfId="1" applyNumberFormat="1" applyFont="1" applyBorder="1" applyAlignment="1">
      <alignment horizontal="center"/>
    </xf>
    <xf numFmtId="164" fontId="4" fillId="0" borderId="0" xfId="1" applyNumberFormat="1" applyFont="1"/>
    <xf numFmtId="178" fontId="4" fillId="0" borderId="0" xfId="0" applyNumberFormat="1" applyFont="1" applyAlignment="1">
      <alignment horizontal="center"/>
    </xf>
    <xf numFmtId="178" fontId="5" fillId="0" borderId="0" xfId="1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5" fontId="23" fillId="0" borderId="0" xfId="0" applyNumberFormat="1" applyFont="1" applyAlignment="1">
      <alignment horizontal="left"/>
    </xf>
    <xf numFmtId="5" fontId="23" fillId="0" borderId="0" xfId="0" applyNumberFormat="1" applyFont="1"/>
    <xf numFmtId="14" fontId="23" fillId="0" borderId="0" xfId="0" applyNumberFormat="1" applyFont="1"/>
    <xf numFmtId="42" fontId="23" fillId="0" borderId="0" xfId="8" applyNumberFormat="1" applyFont="1"/>
    <xf numFmtId="0" fontId="23" fillId="0" borderId="0" xfId="0" applyFont="1"/>
    <xf numFmtId="178" fontId="4" fillId="0" borderId="0" xfId="1" applyNumberFormat="1" applyFont="1" applyFill="1"/>
    <xf numFmtId="14" fontId="4" fillId="0" borderId="0" xfId="8" applyNumberFormat="1" applyFont="1" applyBorder="1" applyAlignment="1">
      <alignment horizontal="center"/>
    </xf>
    <xf numFmtId="165" fontId="5" fillId="0" borderId="0" xfId="8" applyFont="1" applyBorder="1"/>
    <xf numFmtId="178" fontId="5" fillId="0" borderId="0" xfId="0" applyNumberFormat="1" applyFont="1"/>
    <xf numFmtId="43" fontId="5" fillId="0" borderId="0" xfId="1" applyFont="1" applyAlignment="1">
      <alignment horizontal="center"/>
    </xf>
    <xf numFmtId="164" fontId="23" fillId="0" borderId="0" xfId="23" applyNumberFormat="1" applyFont="1" applyBorder="1" applyAlignment="1">
      <alignment horizontal="center"/>
    </xf>
    <xf numFmtId="14" fontId="4" fillId="0" borderId="0" xfId="23" applyNumberFormat="1" applyFont="1" applyBorder="1" applyAlignment="1">
      <alignment horizontal="center"/>
    </xf>
    <xf numFmtId="1" fontId="4" fillId="0" borderId="0" xfId="23" applyNumberFormat="1" applyFont="1" applyBorder="1" applyAlignment="1">
      <alignment horizontal="center"/>
    </xf>
    <xf numFmtId="178" fontId="26" fillId="0" borderId="0" xfId="1" applyNumberFormat="1" applyFont="1"/>
    <xf numFmtId="178" fontId="5" fillId="0" borderId="0" xfId="0" applyNumberFormat="1" applyFont="1" applyAlignment="1">
      <alignment horizontal="center"/>
    </xf>
    <xf numFmtId="164" fontId="4" fillId="0" borderId="9" xfId="8" applyNumberFormat="1" applyFont="1" applyBorder="1" applyAlignment="1">
      <alignment horizontal="right"/>
    </xf>
    <xf numFmtId="0" fontId="5" fillId="0" borderId="25" xfId="0" applyFont="1" applyBorder="1" applyAlignment="1">
      <alignment horizontal="center"/>
    </xf>
    <xf numFmtId="169" fontId="4" fillId="0" borderId="0" xfId="19" applyNumberFormat="1" applyFont="1" applyBorder="1" applyAlignment="1">
      <alignment horizontal="right"/>
    </xf>
    <xf numFmtId="14" fontId="4" fillId="0" borderId="0" xfId="1" applyNumberFormat="1" applyFont="1" applyBorder="1" applyAlignment="1">
      <alignment horizontal="right"/>
    </xf>
    <xf numFmtId="166" fontId="5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1" fontId="4" fillId="0" borderId="0" xfId="0" applyNumberFormat="1" applyFont="1" applyAlignment="1">
      <alignment horizontal="center"/>
    </xf>
    <xf numFmtId="1" fontId="4" fillId="0" borderId="0" xfId="8" applyNumberFormat="1" applyFont="1"/>
    <xf numFmtId="1" fontId="0" fillId="0" borderId="0" xfId="1" applyNumberFormat="1" applyFont="1"/>
    <xf numFmtId="1" fontId="4" fillId="0" borderId="0" xfId="0" applyNumberFormat="1" applyFont="1"/>
    <xf numFmtId="1" fontId="4" fillId="0" borderId="0" xfId="8" applyNumberFormat="1" applyFont="1" applyBorder="1" applyAlignment="1">
      <alignment horizontal="right"/>
    </xf>
    <xf numFmtId="1" fontId="23" fillId="0" borderId="0" xfId="0" applyNumberFormat="1" applyFont="1"/>
    <xf numFmtId="1" fontId="23" fillId="0" borderId="0" xfId="8" applyNumberFormat="1" applyFont="1"/>
    <xf numFmtId="164" fontId="4" fillId="0" borderId="0" xfId="1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right"/>
    </xf>
    <xf numFmtId="164" fontId="0" fillId="0" borderId="12" xfId="0" applyNumberFormat="1" applyBorder="1"/>
    <xf numFmtId="14" fontId="4" fillId="0" borderId="0" xfId="1" applyNumberFormat="1" applyFont="1" applyAlignment="1">
      <alignment horizontal="center"/>
    </xf>
    <xf numFmtId="0" fontId="26" fillId="0" borderId="0" xfId="0" applyFont="1" applyAlignment="1">
      <alignment horizontal="left"/>
    </xf>
    <xf numFmtId="183" fontId="4" fillId="0" borderId="0" xfId="0" applyNumberFormat="1" applyFont="1"/>
    <xf numFmtId="43" fontId="4" fillId="0" borderId="0" xfId="1" applyFont="1" applyBorder="1" applyAlignment="1">
      <alignment horizontal="center"/>
    </xf>
    <xf numFmtId="0" fontId="4" fillId="0" borderId="0" xfId="1" applyNumberFormat="1" applyFont="1" applyBorder="1" applyAlignment="1">
      <alignment horizontal="right"/>
    </xf>
    <xf numFmtId="0" fontId="12" fillId="0" borderId="2" xfId="0" applyFont="1" applyBorder="1" applyAlignment="1">
      <alignment horizontal="center"/>
    </xf>
    <xf numFmtId="16" fontId="5" fillId="0" borderId="1" xfId="0" applyNumberFormat="1" applyFont="1" applyBorder="1" applyAlignment="1">
      <alignment horizontal="left"/>
    </xf>
    <xf numFmtId="42" fontId="5" fillId="0" borderId="2" xfId="0" applyNumberFormat="1" applyFont="1" applyBorder="1" applyAlignment="1">
      <alignment horizontal="center"/>
    </xf>
    <xf numFmtId="178" fontId="4" fillId="0" borderId="2" xfId="1" applyNumberFormat="1" applyFont="1" applyBorder="1" applyAlignment="1">
      <alignment horizontal="center"/>
    </xf>
    <xf numFmtId="178" fontId="5" fillId="0" borderId="6" xfId="1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left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164" fontId="4" fillId="0" borderId="13" xfId="0" applyNumberFormat="1" applyFont="1" applyBorder="1"/>
    <xf numFmtId="0" fontId="4" fillId="0" borderId="13" xfId="0" applyFont="1" applyBorder="1"/>
    <xf numFmtId="42" fontId="4" fillId="0" borderId="13" xfId="0" applyNumberFormat="1" applyFont="1" applyBorder="1"/>
    <xf numFmtId="164" fontId="4" fillId="0" borderId="14" xfId="0" applyNumberFormat="1" applyFont="1" applyBorder="1" applyAlignment="1">
      <alignment horizontal="right"/>
    </xf>
    <xf numFmtId="164" fontId="5" fillId="0" borderId="13" xfId="0" applyNumberFormat="1" applyFont="1" applyBorder="1"/>
    <xf numFmtId="178" fontId="4" fillId="0" borderId="0" xfId="1" applyNumberFormat="1" applyFont="1" applyBorder="1" applyAlignment="1">
      <alignment horizontal="left"/>
    </xf>
    <xf numFmtId="164" fontId="4" fillId="0" borderId="0" xfId="8" applyNumberFormat="1" applyFont="1" applyBorder="1" applyAlignment="1">
      <alignment horizontal="left"/>
    </xf>
    <xf numFmtId="166" fontId="4" fillId="0" borderId="0" xfId="1" applyNumberFormat="1" applyFont="1" applyBorder="1" applyAlignment="1">
      <alignment horizontal="right"/>
    </xf>
    <xf numFmtId="166" fontId="5" fillId="0" borderId="9" xfId="1" applyNumberFormat="1" applyFont="1" applyBorder="1"/>
    <xf numFmtId="42" fontId="4" fillId="0" borderId="0" xfId="1" applyNumberFormat="1" applyFont="1" applyAlignment="1">
      <alignment horizontal="right"/>
    </xf>
    <xf numFmtId="42" fontId="4" fillId="0" borderId="0" xfId="19" applyNumberFormat="1" applyFont="1" applyAlignment="1">
      <alignment horizontal="right"/>
    </xf>
    <xf numFmtId="42" fontId="4" fillId="0" borderId="0" xfId="1" applyNumberFormat="1" applyFont="1" applyBorder="1" applyAlignment="1">
      <alignment horizontal="right"/>
    </xf>
    <xf numFmtId="164" fontId="4" fillId="0" borderId="0" xfId="19" applyNumberFormat="1" applyFont="1" applyAlignment="1">
      <alignment horizontal="left"/>
    </xf>
    <xf numFmtId="164" fontId="4" fillId="0" borderId="0" xfId="1" applyNumberFormat="1" applyFont="1" applyBorder="1" applyAlignment="1">
      <alignment horizontal="left"/>
    </xf>
    <xf numFmtId="181" fontId="4" fillId="0" borderId="0" xfId="0" applyNumberFormat="1" applyFont="1" applyAlignment="1">
      <alignment horizontal="left"/>
    </xf>
    <xf numFmtId="181" fontId="4" fillId="0" borderId="0" xfId="0" applyNumberFormat="1" applyFont="1" applyAlignment="1">
      <alignment horizontal="center"/>
    </xf>
    <xf numFmtId="164" fontId="4" fillId="0" borderId="0" xfId="19" applyNumberFormat="1" applyFont="1"/>
    <xf numFmtId="14" fontId="4" fillId="0" borderId="0" xfId="8" applyNumberFormat="1" applyFont="1" applyBorder="1" applyAlignment="1">
      <alignment horizontal="left"/>
    </xf>
    <xf numFmtId="166" fontId="4" fillId="0" borderId="0" xfId="8" applyNumberFormat="1" applyFont="1" applyBorder="1" applyAlignment="1"/>
    <xf numFmtId="14" fontId="4" fillId="0" borderId="0" xfId="1" applyNumberFormat="1" applyFont="1"/>
    <xf numFmtId="14" fontId="4" fillId="0" borderId="0" xfId="48" applyNumberFormat="1" applyFont="1"/>
    <xf numFmtId="183" fontId="4" fillId="0" borderId="0" xfId="0" applyNumberFormat="1" applyFont="1" applyAlignment="1">
      <alignment horizontal="center"/>
    </xf>
    <xf numFmtId="14" fontId="23" fillId="0" borderId="0" xfId="8" applyNumberFormat="1" applyFont="1"/>
    <xf numFmtId="42" fontId="4" fillId="0" borderId="0" xfId="0" applyNumberFormat="1" applyFont="1" applyAlignment="1">
      <alignment horizontal="left"/>
    </xf>
    <xf numFmtId="14" fontId="11" fillId="0" borderId="0" xfId="0" applyNumberFormat="1" applyFont="1"/>
    <xf numFmtId="14" fontId="4" fillId="0" borderId="0" xfId="8" applyNumberFormat="1" applyFont="1" applyFill="1" applyBorder="1" applyAlignment="1">
      <alignment horizontal="right"/>
    </xf>
    <xf numFmtId="14" fontId="4" fillId="0" borderId="0" xfId="8" applyNumberFormat="1" applyFont="1" applyBorder="1" applyAlignment="1">
      <alignment horizontal="right"/>
    </xf>
    <xf numFmtId="164" fontId="4" fillId="0" borderId="0" xfId="19" applyNumberFormat="1" applyFont="1" applyFill="1" applyAlignment="1">
      <alignment horizontal="left"/>
    </xf>
    <xf numFmtId="42" fontId="4" fillId="0" borderId="0" xfId="19" applyNumberFormat="1" applyFont="1" applyFill="1" applyAlignment="1">
      <alignment horizontal="right"/>
    </xf>
    <xf numFmtId="42" fontId="4" fillId="0" borderId="0" xfId="8" applyNumberFormat="1" applyFont="1" applyFill="1" applyBorder="1" applyAlignment="1">
      <alignment horizontal="right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14" fontId="27" fillId="0" borderId="0" xfId="0" applyNumberFormat="1" applyFont="1" applyAlignment="1">
      <alignment horizontal="right"/>
    </xf>
    <xf numFmtId="178" fontId="5" fillId="0" borderId="6" xfId="0" applyNumberFormat="1" applyFont="1" applyBorder="1" applyAlignment="1">
      <alignment horizontal="right"/>
    </xf>
    <xf numFmtId="171" fontId="4" fillId="0" borderId="0" xfId="8" applyNumberFormat="1" applyFont="1" applyBorder="1" applyAlignment="1">
      <alignment horizontal="center"/>
    </xf>
    <xf numFmtId="164" fontId="4" fillId="0" borderId="0" xfId="1" applyNumberFormat="1" applyFont="1" applyAlignment="1">
      <alignment horizontal="left"/>
    </xf>
    <xf numFmtId="14" fontId="4" fillId="0" borderId="0" xfId="1" applyNumberFormat="1" applyFont="1" applyAlignment="1">
      <alignment horizontal="right"/>
    </xf>
    <xf numFmtId="164" fontId="4" fillId="0" borderId="0" xfId="8" applyNumberFormat="1" applyFont="1" applyFill="1" applyBorder="1" applyAlignment="1">
      <alignment horizontal="left"/>
    </xf>
    <xf numFmtId="178" fontId="4" fillId="0" borderId="0" xfId="1" applyNumberFormat="1" applyFont="1" applyFill="1" applyBorder="1" applyAlignment="1">
      <alignment horizontal="right"/>
    </xf>
    <xf numFmtId="178" fontId="4" fillId="0" borderId="0" xfId="1" applyNumberFormat="1" applyFont="1" applyFill="1" applyBorder="1" applyAlignment="1">
      <alignment horizontal="left"/>
    </xf>
    <xf numFmtId="14" fontId="4" fillId="0" borderId="0" xfId="8" applyNumberFormat="1" applyFont="1" applyBorder="1" applyAlignment="1"/>
    <xf numFmtId="14" fontId="4" fillId="0" borderId="0" xfId="8" applyNumberFormat="1" applyFont="1" applyFill="1" applyBorder="1" applyAlignment="1"/>
    <xf numFmtId="14" fontId="4" fillId="0" borderId="0" xfId="1" applyNumberFormat="1" applyFont="1" applyAlignment="1"/>
    <xf numFmtId="44" fontId="4" fillId="0" borderId="0" xfId="0" applyNumberFormat="1" applyFont="1" applyAlignment="1">
      <alignment horizontal="left"/>
    </xf>
    <xf numFmtId="178" fontId="4" fillId="0" borderId="0" xfId="1" applyNumberFormat="1" applyFont="1" applyBorder="1" applyAlignment="1"/>
    <xf numFmtId="164" fontId="0" fillId="0" borderId="0" xfId="1" applyNumberFormat="1" applyFont="1"/>
    <xf numFmtId="164" fontId="4" fillId="0" borderId="0" xfId="19" applyNumberFormat="1" applyFont="1" applyBorder="1" applyAlignment="1">
      <alignment horizontal="right"/>
    </xf>
    <xf numFmtId="164" fontId="23" fillId="0" borderId="0" xfId="1" applyNumberFormat="1" applyFont="1" applyBorder="1" applyAlignment="1">
      <alignment horizontal="center"/>
    </xf>
    <xf numFmtId="164" fontId="23" fillId="0" borderId="0" xfId="1" applyNumberFormat="1" applyFont="1"/>
    <xf numFmtId="6" fontId="28" fillId="0" borderId="0" xfId="0" applyNumberFormat="1" applyFont="1" applyAlignment="1">
      <alignment horizontal="right" vertical="center" wrapText="1"/>
    </xf>
    <xf numFmtId="6" fontId="0" fillId="0" borderId="0" xfId="0" applyNumberFormat="1"/>
    <xf numFmtId="42" fontId="0" fillId="0" borderId="11" xfId="0" applyNumberFormat="1" applyBorder="1"/>
    <xf numFmtId="42" fontId="0" fillId="2" borderId="0" xfId="0" applyNumberFormat="1" applyFill="1"/>
    <xf numFmtId="166" fontId="5" fillId="0" borderId="6" xfId="0" applyNumberFormat="1" applyFont="1" applyBorder="1" applyAlignment="1">
      <alignment horizontal="right"/>
    </xf>
    <xf numFmtId="164" fontId="4" fillId="0" borderId="0" xfId="23" applyNumberFormat="1" applyFont="1" applyFill="1" applyBorder="1" applyAlignment="1">
      <alignment horizontal="center"/>
    </xf>
    <xf numFmtId="1" fontId="4" fillId="0" borderId="0" xfId="23" applyNumberFormat="1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5" fontId="5" fillId="0" borderId="0" xfId="0" applyNumberFormat="1" applyFont="1" applyAlignment="1">
      <alignment horizontal="left"/>
    </xf>
    <xf numFmtId="164" fontId="4" fillId="0" borderId="0" xfId="8" applyNumberFormat="1" applyFont="1" applyAlignment="1">
      <alignment horizontal="left"/>
    </xf>
  </cellXfs>
  <cellStyles count="59">
    <cellStyle name="Comma" xfId="1" builtinId="3"/>
    <cellStyle name="Comma 2" xfId="2" xr:uid="{00000000-0005-0000-0000-000001000000}"/>
    <cellStyle name="Comma 2 2" xfId="3" xr:uid="{00000000-0005-0000-0000-000002000000}"/>
    <cellStyle name="Comma 2 3" xfId="4" xr:uid="{00000000-0005-0000-0000-000003000000}"/>
    <cellStyle name="Comma 2 4" xfId="5" xr:uid="{00000000-0005-0000-0000-000004000000}"/>
    <cellStyle name="Comma 3" xfId="6" xr:uid="{00000000-0005-0000-0000-000005000000}"/>
    <cellStyle name="Comma 4" xfId="7" xr:uid="{00000000-0005-0000-0000-000006000000}"/>
    <cellStyle name="Currency" xfId="8" builtinId="4"/>
    <cellStyle name="Currency 2 2" xfId="9" xr:uid="{00000000-0005-0000-0000-000008000000}"/>
    <cellStyle name="Currency 2 2 2" xfId="10" xr:uid="{00000000-0005-0000-0000-000009000000}"/>
    <cellStyle name="Currency 2 3" xfId="11" xr:uid="{00000000-0005-0000-0000-00000A000000}"/>
    <cellStyle name="Currency 2 4" xfId="12" xr:uid="{00000000-0005-0000-0000-00000B000000}"/>
    <cellStyle name="Currency 3" xfId="13" xr:uid="{00000000-0005-0000-0000-00000C000000}"/>
    <cellStyle name="Currency 4" xfId="14" xr:uid="{00000000-0005-0000-0000-00000D000000}"/>
    <cellStyle name="Currency 4 2" xfId="15" xr:uid="{00000000-0005-0000-0000-00000E000000}"/>
    <cellStyle name="Currency 5" xfId="16" xr:uid="{00000000-0005-0000-0000-00000F000000}"/>
    <cellStyle name="Currency 5 2" xfId="17" xr:uid="{00000000-0005-0000-0000-000010000000}"/>
    <cellStyle name="Currency 6 2" xfId="18" xr:uid="{00000000-0005-0000-0000-000011000000}"/>
    <cellStyle name="Currency 7" xfId="19" xr:uid="{00000000-0005-0000-0000-000012000000}"/>
    <cellStyle name="Currency 7 2" xfId="20" xr:uid="{00000000-0005-0000-0000-000013000000}"/>
    <cellStyle name="Currency 8 2" xfId="21" xr:uid="{00000000-0005-0000-0000-000014000000}"/>
    <cellStyle name="Currency 9" xfId="22" xr:uid="{00000000-0005-0000-0000-000015000000}"/>
    <cellStyle name="Currency_SF" xfId="23" xr:uid="{00000000-0005-0000-0000-000016000000}"/>
    <cellStyle name="Normal" xfId="0" builtinId="0"/>
    <cellStyle name="Normal 10" xfId="24" xr:uid="{00000000-0005-0000-0000-000018000000}"/>
    <cellStyle name="Normal 2" xfId="25" xr:uid="{00000000-0005-0000-0000-000019000000}"/>
    <cellStyle name="Normal 2 2" xfId="26" xr:uid="{00000000-0005-0000-0000-00001A000000}"/>
    <cellStyle name="Normal 2 2 2" xfId="27" xr:uid="{00000000-0005-0000-0000-00001B000000}"/>
    <cellStyle name="Normal 2 3" xfId="28" xr:uid="{00000000-0005-0000-0000-00001C000000}"/>
    <cellStyle name="Normal 2 4" xfId="29" xr:uid="{00000000-0005-0000-0000-00001D000000}"/>
    <cellStyle name="Normal 2 5" xfId="30" xr:uid="{00000000-0005-0000-0000-00001E000000}"/>
    <cellStyle name="Normal 2 6" xfId="31" xr:uid="{00000000-0005-0000-0000-00001F000000}"/>
    <cellStyle name="Normal 2 7" xfId="32" xr:uid="{00000000-0005-0000-0000-000020000000}"/>
    <cellStyle name="Normal 3 2" xfId="33" xr:uid="{00000000-0005-0000-0000-000021000000}"/>
    <cellStyle name="Normal 3 3" xfId="34" xr:uid="{00000000-0005-0000-0000-000022000000}"/>
    <cellStyle name="Normal 4" xfId="35" xr:uid="{00000000-0005-0000-0000-000023000000}"/>
    <cellStyle name="Normal 4 2" xfId="36" xr:uid="{00000000-0005-0000-0000-000024000000}"/>
    <cellStyle name="Normal 5" xfId="37" xr:uid="{00000000-0005-0000-0000-000025000000}"/>
    <cellStyle name="Normal 5 2" xfId="38" xr:uid="{00000000-0005-0000-0000-000026000000}"/>
    <cellStyle name="Normal 6 2" xfId="39" xr:uid="{00000000-0005-0000-0000-000027000000}"/>
    <cellStyle name="Normal 6 3" xfId="40" xr:uid="{00000000-0005-0000-0000-000028000000}"/>
    <cellStyle name="Normal 6 4" xfId="41" xr:uid="{00000000-0005-0000-0000-000029000000}"/>
    <cellStyle name="Normal 6 5" xfId="42" xr:uid="{00000000-0005-0000-0000-00002A000000}"/>
    <cellStyle name="Normal 7 2" xfId="43" xr:uid="{00000000-0005-0000-0000-00002B000000}"/>
    <cellStyle name="Normal 8" xfId="44" xr:uid="{00000000-0005-0000-0000-00002C000000}"/>
    <cellStyle name="Normal 8 2" xfId="45" xr:uid="{00000000-0005-0000-0000-00002D000000}"/>
    <cellStyle name="Normal 8 3" xfId="46" xr:uid="{00000000-0005-0000-0000-00002E000000}"/>
    <cellStyle name="Normal 9" xfId="47" xr:uid="{00000000-0005-0000-0000-00002F000000}"/>
    <cellStyle name="Percent" xfId="48" builtinId="5"/>
    <cellStyle name="Percent 2 2" xfId="49" xr:uid="{00000000-0005-0000-0000-000031000000}"/>
    <cellStyle name="Percent 2 2 2" xfId="50" xr:uid="{00000000-0005-0000-0000-000032000000}"/>
    <cellStyle name="Percent 2 3" xfId="51" xr:uid="{00000000-0005-0000-0000-000033000000}"/>
    <cellStyle name="Percent 2 4" xfId="52" xr:uid="{00000000-0005-0000-0000-000034000000}"/>
    <cellStyle name="Percent 3" xfId="53" xr:uid="{00000000-0005-0000-0000-000035000000}"/>
    <cellStyle name="Percent 4" xfId="54" xr:uid="{00000000-0005-0000-0000-000036000000}"/>
    <cellStyle name="Percent 5" xfId="55" xr:uid="{00000000-0005-0000-0000-000037000000}"/>
    <cellStyle name="Percent 7" xfId="56" xr:uid="{00000000-0005-0000-0000-000038000000}"/>
    <cellStyle name="Percent 8 2" xfId="57" xr:uid="{00000000-0005-0000-0000-000039000000}"/>
    <cellStyle name="Percent 9" xfId="58" xr:uid="{00000000-0005-0000-0000-00003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B/Records%20Request/2021/2020PABSUMMARY-%20CDFA%20Surve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s"/>
      <sheetName val="2020 CF"/>
      <sheetName val="Aug 15"/>
      <sheetName val="SC1 MRB"/>
      <sheetName val="SC2 State Voted"/>
      <sheetName val="SC3 Small Issue IDBs"/>
      <sheetName val="SC4 TSAHC"/>
      <sheetName val="SC4 MF- TDHCA"/>
      <sheetName val="SC4 MF- Local Collapse"/>
      <sheetName val="REGION 1"/>
      <sheetName val="REGION 2"/>
      <sheetName val="REGION 3"/>
      <sheetName val="REGION 4"/>
      <sheetName val="REGION 5"/>
      <sheetName val="REGION 6"/>
      <sheetName val="REGION 7"/>
      <sheetName val="REGION 8"/>
      <sheetName val="REGION 9"/>
      <sheetName val="REGION 10"/>
      <sheetName val="REGION 11"/>
      <sheetName val="REGION 12"/>
      <sheetName val="REGION 13"/>
      <sheetName val="SC5 OTHER"/>
      <sheetName val="2017 CF"/>
      <sheetName val="2018 CF"/>
      <sheetName val="2019 CF"/>
      <sheetName val="Bond Buyer"/>
      <sheetName val="Survey"/>
    </sheetNames>
    <sheetDataSet>
      <sheetData sheetId="0"/>
      <sheetData sheetId="1"/>
      <sheetData sheetId="2">
        <row r="47">
          <cell r="P47">
            <v>800000000</v>
          </cell>
        </row>
      </sheetData>
      <sheetData sheetId="3">
        <row r="10">
          <cell r="P10">
            <v>400000000</v>
          </cell>
        </row>
        <row r="11">
          <cell r="P11">
            <v>184997155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2">
          <cell r="L22">
            <v>80574602.449999988</v>
          </cell>
        </row>
        <row r="23">
          <cell r="L23">
            <v>47559482</v>
          </cell>
        </row>
        <row r="24">
          <cell r="L24">
            <v>220000000</v>
          </cell>
        </row>
      </sheetData>
      <sheetData sheetId="25">
        <row r="32">
          <cell r="P32">
            <v>44471266.449999988</v>
          </cell>
        </row>
      </sheetData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00"/>
  <sheetViews>
    <sheetView tabSelected="1" zoomScale="120" zoomScaleNormal="120" workbookViewId="0">
      <selection activeCell="C3" sqref="C3"/>
    </sheetView>
  </sheetViews>
  <sheetFormatPr defaultColWidth="9.140625" defaultRowHeight="12"/>
  <cols>
    <col min="1" max="1" width="32.42578125" style="14" customWidth="1"/>
    <col min="2" max="2" width="16" style="35" bestFit="1" customWidth="1"/>
    <col min="3" max="3" width="14.85546875" style="14" bestFit="1" customWidth="1"/>
    <col min="4" max="4" width="12.85546875" style="35" customWidth="1"/>
    <col min="5" max="5" width="12.85546875" style="35" bestFit="1" customWidth="1"/>
    <col min="6" max="6" width="15.140625" style="14" bestFit="1" customWidth="1"/>
    <col min="7" max="7" width="13.42578125" style="14" bestFit="1" customWidth="1"/>
    <col min="8" max="8" width="14.85546875" style="14" bestFit="1" customWidth="1"/>
    <col min="9" max="9" width="14.28515625" style="14" bestFit="1" customWidth="1"/>
    <col min="10" max="10" width="13.85546875" style="14" bestFit="1" customWidth="1"/>
    <col min="11" max="11" width="14.28515625" style="14" bestFit="1" customWidth="1"/>
    <col min="12" max="16384" width="9.140625" style="14"/>
  </cols>
  <sheetData>
    <row r="1" spans="1:11">
      <c r="A1" s="392"/>
      <c r="B1" s="263"/>
      <c r="C1" s="57"/>
      <c r="F1" s="57"/>
      <c r="H1" s="137"/>
    </row>
    <row r="2" spans="1:11">
      <c r="G2" s="240"/>
      <c r="H2" s="11"/>
    </row>
    <row r="3" spans="1:11" s="1" customFormat="1">
      <c r="A3" s="45" t="s">
        <v>275</v>
      </c>
      <c r="B3" s="14"/>
      <c r="C3" s="8">
        <v>42908</v>
      </c>
      <c r="D3" s="229"/>
      <c r="F3" s="7"/>
      <c r="G3" s="387"/>
      <c r="H3" s="386"/>
      <c r="I3" s="105"/>
      <c r="J3" s="105"/>
    </row>
    <row r="4" spans="1:11" s="1" customFormat="1">
      <c r="A4" s="392"/>
      <c r="B4" s="14"/>
      <c r="D4" s="7"/>
      <c r="F4" s="225"/>
      <c r="G4" s="55"/>
      <c r="H4" s="62"/>
    </row>
    <row r="5" spans="1:11" s="1" customFormat="1">
      <c r="A5" s="392"/>
      <c r="B5" s="137">
        <f>SUM(C5:I5)</f>
        <v>1</v>
      </c>
      <c r="C5" s="16">
        <v>0.32250000000000001</v>
      </c>
      <c r="D5" s="16">
        <v>0.1</v>
      </c>
      <c r="E5" s="16">
        <v>0.02</v>
      </c>
      <c r="F5" s="389">
        <v>2.6249999999999999E-2</v>
      </c>
      <c r="G5" s="388">
        <v>5.2499999999999998E-2</v>
      </c>
      <c r="H5" s="388">
        <v>0.18375</v>
      </c>
      <c r="I5" s="191">
        <v>0.29499999999999998</v>
      </c>
    </row>
    <row r="6" spans="1:11" s="1" customFormat="1">
      <c r="A6" s="392"/>
      <c r="B6" s="57"/>
      <c r="C6" s="100" t="s">
        <v>58</v>
      </c>
      <c r="D6" s="100" t="s">
        <v>59</v>
      </c>
      <c r="E6" s="100" t="s">
        <v>60</v>
      </c>
      <c r="F6" s="100" t="s">
        <v>61</v>
      </c>
      <c r="G6" s="100" t="s">
        <v>61</v>
      </c>
      <c r="H6" s="100" t="s">
        <v>61</v>
      </c>
      <c r="I6" s="100" t="s">
        <v>62</v>
      </c>
      <c r="J6" s="506" t="s">
        <v>534</v>
      </c>
    </row>
    <row r="7" spans="1:11" s="1" customFormat="1">
      <c r="A7" s="45"/>
      <c r="B7" s="121" t="s">
        <v>15</v>
      </c>
      <c r="C7" s="122" t="s">
        <v>35</v>
      </c>
      <c r="D7" s="120" t="s">
        <v>26</v>
      </c>
      <c r="E7" s="120" t="s">
        <v>3</v>
      </c>
      <c r="F7" s="123" t="s">
        <v>54</v>
      </c>
      <c r="G7" s="123" t="s">
        <v>13</v>
      </c>
      <c r="H7" s="123" t="s">
        <v>20</v>
      </c>
      <c r="I7" s="121" t="s">
        <v>16</v>
      </c>
      <c r="J7" s="507" t="s">
        <v>532</v>
      </c>
    </row>
    <row r="8" spans="1:11" s="1" customFormat="1">
      <c r="A8" s="258" t="s">
        <v>370</v>
      </c>
      <c r="B8" s="257">
        <f>28995881*105</f>
        <v>3044567505</v>
      </c>
      <c r="C8" s="80">
        <f>ROUND(C5*$B$8,0)+1</f>
        <v>981873021</v>
      </c>
      <c r="D8" s="80">
        <f>ROUND(D5*$B$8,0)</f>
        <v>304456751</v>
      </c>
      <c r="E8" s="80">
        <f>ROUND(E5*$B$8,0)</f>
        <v>60891350</v>
      </c>
      <c r="F8" s="80">
        <f>ROUND(F5*$B$8,0)</f>
        <v>79919897</v>
      </c>
      <c r="G8" s="80">
        <f>ROUND(G5*$B$8,0)</f>
        <v>159839794</v>
      </c>
      <c r="H8" s="80">
        <f>ROUND(H5*$B$8,0)</f>
        <v>559439279</v>
      </c>
      <c r="I8" s="80">
        <f>ROUND(I5*$B$8,0)-1</f>
        <v>898147413</v>
      </c>
      <c r="J8" s="512">
        <f>'Aug 15'!B1</f>
        <v>982595000.30000007</v>
      </c>
      <c r="K8" s="105"/>
    </row>
    <row r="9" spans="1:11" s="1" customFormat="1">
      <c r="A9" s="45"/>
      <c r="B9" s="226"/>
      <c r="C9" s="79"/>
      <c r="D9" s="79"/>
      <c r="E9" s="79"/>
      <c r="F9" s="79"/>
      <c r="G9" s="79"/>
      <c r="H9" s="79"/>
      <c r="I9" s="79"/>
      <c r="J9" s="509"/>
    </row>
    <row r="10" spans="1:11" s="1" customFormat="1">
      <c r="A10" s="45" t="s">
        <v>69</v>
      </c>
      <c r="B10" s="226">
        <f>SUM(C10:J10)</f>
        <v>7678257562.585</v>
      </c>
      <c r="C10" s="79">
        <f>'SC1 MRB'!$H$20</f>
        <v>1611872267</v>
      </c>
      <c r="D10" s="79">
        <f>+'SC2 State Voted'!F9</f>
        <v>100000000</v>
      </c>
      <c r="E10" s="79">
        <f>+'SC3 Small Issue IDBs'!F11</f>
        <v>0</v>
      </c>
      <c r="F10" s="79">
        <f>'SC4 TSAHC'!F19</f>
        <v>153120000</v>
      </c>
      <c r="G10" s="79">
        <f>+'SC4 MF- TDHCA'!F29</f>
        <v>250800000</v>
      </c>
      <c r="H10" s="126">
        <f>'REGION 1'!F9+'REGION 2'!F8+'REGION 3'!F15+'REGION 4'!F8+'REGION 5'!F8+'REGION 6'!F16+'REGION 7'!F16+'REGION 9'!F14+'REGION 10'!F8+'REGION 11'!F8+'REGION 12'!F9+'REGION 13'!F8+'SC4 MF- Local Collapse'!F44</f>
        <v>994207647.58500004</v>
      </c>
      <c r="I10" s="79">
        <f>'SC5 OTHER'!$F$76</f>
        <v>2280757648</v>
      </c>
      <c r="J10" s="508">
        <f>'Aug 15'!F50</f>
        <v>2287500000</v>
      </c>
    </row>
    <row r="11" spans="1:11" s="1" customFormat="1">
      <c r="B11" s="226"/>
      <c r="C11" s="79"/>
      <c r="D11" s="79"/>
      <c r="E11" s="79"/>
      <c r="F11" s="79"/>
      <c r="G11" s="79"/>
      <c r="H11" s="79"/>
      <c r="I11" s="79"/>
      <c r="J11" s="509"/>
    </row>
    <row r="12" spans="1:11" s="1" customFormat="1">
      <c r="A12" s="1" t="s">
        <v>66</v>
      </c>
      <c r="B12" s="226">
        <f>SUM(C12:J12)</f>
        <v>7351632562.585</v>
      </c>
      <c r="C12" s="79">
        <f>'SC1 MRB'!$I$20</f>
        <v>1611872267</v>
      </c>
      <c r="D12" s="79">
        <f>+'SC2 State Voted'!G9</f>
        <v>100000000</v>
      </c>
      <c r="E12" s="79">
        <f>+'SC3 Small Issue IDBs'!G11</f>
        <v>0</v>
      </c>
      <c r="F12" s="79">
        <f>'SC4 TSAHC'!G19</f>
        <v>153120000</v>
      </c>
      <c r="G12" s="79">
        <f>'SC4 MF- TDHCA'!G29</f>
        <v>250800000</v>
      </c>
      <c r="H12" s="79">
        <f>'REGION 1'!G9+'REGION 2'!G8+'REGION 3'!G15+'REGION 4'!G8+'REGION 5'!G8+'REGION 6'!G16+'REGION 7'!G16+'REGION 8'!G8+'REGION 9'!G14+'REGION 10'!G8+'REGION 11'!G8+'REGION 12'!G9+'REGION 13'!G8+'SC4 MF- Local Collapse'!G44</f>
        <v>994207647.58500004</v>
      </c>
      <c r="I12" s="79">
        <f>'SC5 OTHER'!$G$76</f>
        <v>2280757648</v>
      </c>
      <c r="J12" s="510">
        <f>'Aug 15'!I50</f>
        <v>1960875000</v>
      </c>
    </row>
    <row r="13" spans="1:11" s="1" customFormat="1">
      <c r="B13" s="226"/>
      <c r="C13" s="79"/>
      <c r="D13" s="79"/>
      <c r="E13" s="79"/>
      <c r="F13" s="79"/>
      <c r="G13" s="79"/>
      <c r="H13" s="79"/>
      <c r="I13" s="79"/>
      <c r="J13" s="509"/>
    </row>
    <row r="14" spans="1:11" s="1" customFormat="1">
      <c r="A14" s="1" t="s">
        <v>65</v>
      </c>
      <c r="B14" s="226">
        <f>SUM(C14:J14)</f>
        <v>5637073934</v>
      </c>
      <c r="C14" s="79">
        <f>'SC1 MRB'!L20</f>
        <v>1453571286</v>
      </c>
      <c r="D14" s="79">
        <f>'SC2 State Voted'!J9</f>
        <v>100000000</v>
      </c>
      <c r="E14" s="79">
        <f>'SC3 Small Issue IDBs'!J11</f>
        <v>0</v>
      </c>
      <c r="F14" s="79">
        <f>'SC4 TSAHC'!J19</f>
        <v>153120000</v>
      </c>
      <c r="G14" s="79">
        <f>'SC4 MF- TDHCA'!J29</f>
        <v>250800000</v>
      </c>
      <c r="H14" s="79">
        <f>'REGION 1'!J9+'REGION 2'!J8+'REGION 3'!J15+'REGION 4'!J8+'REGION 5'!J8+'REGION 6'!J16+'REGION 7'!J16+'REGION 8'!J8+'REGION 9'!J14+'REGION 10'!J8+'REGION 11'!J8+'REGION 12'!J9+'REGION 13'!J8+'SC4 MF- Local Collapse'!J44</f>
        <v>851950000</v>
      </c>
      <c r="I14" s="79">
        <f>'SC5 OTHER'!J76</f>
        <v>1847257648</v>
      </c>
      <c r="J14" s="510">
        <f>'Aug 15'!L50</f>
        <v>980375000</v>
      </c>
    </row>
    <row r="15" spans="1:11" s="1" customFormat="1">
      <c r="B15" s="226"/>
      <c r="C15" s="79"/>
      <c r="D15" s="79"/>
      <c r="E15" s="79"/>
      <c r="F15" s="79"/>
      <c r="G15" s="79"/>
      <c r="H15" s="79"/>
      <c r="I15" s="79"/>
      <c r="J15" s="509"/>
    </row>
    <row r="16" spans="1:11" s="1" customFormat="1">
      <c r="A16" s="1" t="s">
        <v>67</v>
      </c>
      <c r="B16" s="226">
        <f>SUM(C16:J16)</f>
        <v>1123089816.7</v>
      </c>
      <c r="C16" s="79">
        <f>'SC1 MRB'!$N$20</f>
        <v>0</v>
      </c>
      <c r="D16" s="79">
        <f>+'SC2 State Voted'!L9</f>
        <v>69990168.900000006</v>
      </c>
      <c r="E16" s="79">
        <f>+'SC3 Small Issue IDBs'!L11</f>
        <v>0</v>
      </c>
      <c r="F16" s="79">
        <f>'SC4 TSAHC'!L19</f>
        <v>9872000</v>
      </c>
      <c r="G16" s="79">
        <f>+'SC4 MF- TDHCA'!L29</f>
        <v>158800000</v>
      </c>
      <c r="H16" s="79">
        <f>'REGION 1'!L10+'REGION 2'!L8+'REGION 3'!L7+'REGION 4'!L8+'REGION 5'!L8+'REGION 6'!L16+'REGION 7'!L16+'REGION 8'!L8+'REGION 11'!L8+'REGION 12'!L9+'REGION 9'!L14+'REGION 10'!L8+'REGION 13'!L8+'SC4 MF- Local Collapse'!L44</f>
        <v>264964000</v>
      </c>
      <c r="I16" s="79">
        <f>'SC5 OTHER'!L76</f>
        <v>452766647.80000001</v>
      </c>
      <c r="J16" s="510">
        <f>'Aug 15'!N50</f>
        <v>166697000</v>
      </c>
    </row>
    <row r="17" spans="1:10" s="1" customFormat="1">
      <c r="B17" s="226"/>
      <c r="C17" s="79"/>
      <c r="D17" s="79"/>
      <c r="E17" s="79"/>
      <c r="F17" s="79"/>
      <c r="G17" s="79"/>
      <c r="H17" s="130"/>
      <c r="I17" s="79"/>
      <c r="J17" s="509"/>
    </row>
    <row r="18" spans="1:10" s="1" customFormat="1">
      <c r="A18" s="1" t="s">
        <v>52</v>
      </c>
      <c r="B18" s="226">
        <f>SUM(C18:J18)</f>
        <v>4403088057.8850002</v>
      </c>
      <c r="C18" s="79">
        <f>'SC1 MRB'!$O$20</f>
        <v>758300227</v>
      </c>
      <c r="D18" s="79">
        <f>+'SC2 State Voted'!M9</f>
        <v>30009831.099999994</v>
      </c>
      <c r="E18" s="79">
        <f>+'SC3 Small Issue IDBs'!M11</f>
        <v>0</v>
      </c>
      <c r="F18" s="79">
        <f>'SC4 TSAHC'!M19</f>
        <v>104748000</v>
      </c>
      <c r="G18" s="79">
        <f>+'SC4 MF- TDHCA'!M29</f>
        <v>92000000</v>
      </c>
      <c r="H18" s="79">
        <f>'REGION 1'!M9+'REGION 2'!M8+'REGION 3'!M15+'REGION 4'!M8+'REGION 5'!M8+'REGION 6'!M16+'REGION 7'!M16+'REGION 8'!M8+'REGION 9'!M14+'REGION 10'!M8+'REGION 11'!M8+'REGION 12'!M9+'REGION 13'!M8+'SC4 MF- Local Collapse'!M44</f>
        <v>622493647.58500004</v>
      </c>
      <c r="I18" s="79">
        <f>'SC5 OTHER'!M76</f>
        <v>1721233352.2</v>
      </c>
      <c r="J18" s="510">
        <f>'Aug 15'!O50</f>
        <v>1074303000</v>
      </c>
    </row>
    <row r="19" spans="1:10" s="1" customFormat="1">
      <c r="A19" s="45"/>
      <c r="B19" s="226"/>
      <c r="C19" s="79"/>
      <c r="D19" s="79"/>
      <c r="E19" s="79"/>
      <c r="F19" s="79"/>
      <c r="G19" s="79"/>
      <c r="H19" s="79"/>
      <c r="I19" s="79"/>
      <c r="J19" s="509"/>
    </row>
    <row r="20" spans="1:10" s="1" customFormat="1">
      <c r="A20" s="45" t="s">
        <v>30</v>
      </c>
      <c r="B20" s="226">
        <f>SUM(C20:J20)</f>
        <v>191625000</v>
      </c>
      <c r="C20" s="79">
        <f t="shared" ref="C20:H20" si="0">+C10-C12</f>
        <v>0</v>
      </c>
      <c r="D20" s="79">
        <f t="shared" si="0"/>
        <v>0</v>
      </c>
      <c r="E20" s="79">
        <f t="shared" si="0"/>
        <v>0</v>
      </c>
      <c r="F20" s="79">
        <f t="shared" si="0"/>
        <v>0</v>
      </c>
      <c r="G20" s="79">
        <f>+G10-G12</f>
        <v>0</v>
      </c>
      <c r="H20" s="79">
        <f t="shared" si="0"/>
        <v>0</v>
      </c>
      <c r="I20" s="79">
        <f>+I10-I12</f>
        <v>0</v>
      </c>
      <c r="J20" s="510">
        <f>'Aug 15'!F52</f>
        <v>191625000</v>
      </c>
    </row>
    <row r="21" spans="1:10" s="1" customFormat="1">
      <c r="A21" s="45"/>
      <c r="B21" s="226"/>
      <c r="C21" s="79"/>
      <c r="D21" s="79"/>
      <c r="E21" s="79"/>
      <c r="F21" s="79"/>
      <c r="G21" s="79"/>
      <c r="H21" s="79"/>
      <c r="I21" s="79"/>
      <c r="J21" s="509"/>
    </row>
    <row r="22" spans="1:10" s="1" customFormat="1">
      <c r="A22" s="54" t="s">
        <v>383</v>
      </c>
      <c r="B22" s="230">
        <f>'Aug 15'!F59</f>
        <v>96023000.300000072</v>
      </c>
      <c r="C22" s="113">
        <f>+C8-C12+C18</f>
        <v>128300981</v>
      </c>
      <c r="D22" s="113">
        <f>+D8-D12+D18</f>
        <v>234466582.09999999</v>
      </c>
      <c r="E22" s="113">
        <f>+E8-E12+E18</f>
        <v>60891350</v>
      </c>
      <c r="F22" s="113">
        <f>+F8-F12+F18+'SC4 TSAHC'!E27</f>
        <v>31547897</v>
      </c>
      <c r="G22" s="113">
        <f>+G8-G12+G18+'SC4 MF- TDHCA'!E39</f>
        <v>1039794</v>
      </c>
      <c r="H22" s="113">
        <f>+H8-H12+H18+'SC4 MF- Local Collapse'!E53</f>
        <v>187725279</v>
      </c>
      <c r="I22" s="113">
        <f>+I8-I12+I18+'SC5 OTHER'!E88</f>
        <v>338623117.20000005</v>
      </c>
      <c r="J22" s="511">
        <f>J8-J12+J18+'Aug 15'!D59</f>
        <v>96023000.300000072</v>
      </c>
    </row>
    <row r="23" spans="1:10" s="1" customFormat="1">
      <c r="A23" s="54"/>
      <c r="B23" s="226"/>
      <c r="C23" s="79"/>
      <c r="D23" s="79"/>
      <c r="E23" s="79"/>
      <c r="F23" s="79"/>
      <c r="G23" s="79"/>
      <c r="H23" s="79"/>
      <c r="I23" s="79"/>
    </row>
    <row r="24" spans="1:10">
      <c r="A24" s="14" t="s">
        <v>181</v>
      </c>
      <c r="B24" s="270">
        <f>SUM(C24:I24)</f>
        <v>82005055.920000136</v>
      </c>
      <c r="C24" s="79">
        <v>0</v>
      </c>
      <c r="D24" s="79">
        <v>0</v>
      </c>
      <c r="E24" s="79" t="s">
        <v>161</v>
      </c>
      <c r="F24" s="79">
        <v>0</v>
      </c>
      <c r="G24" s="79">
        <v>0</v>
      </c>
      <c r="H24" s="79">
        <f>'2017 CF'!M12+'2017 CF'!M21</f>
        <v>52090308.050000012</v>
      </c>
      <c r="I24" s="79">
        <f>'2017 CF'!M26</f>
        <v>29914747.870000124</v>
      </c>
    </row>
    <row r="25" spans="1:10">
      <c r="A25" s="14" t="s">
        <v>216</v>
      </c>
      <c r="B25" s="11">
        <f>SUM(C25:I25)</f>
        <v>295907040</v>
      </c>
      <c r="C25" s="79">
        <f>'2018 CF'!M31</f>
        <v>108355040</v>
      </c>
      <c r="D25" s="79">
        <f>'2018 CF'!M37</f>
        <v>0</v>
      </c>
      <c r="E25" s="79" t="s">
        <v>161</v>
      </c>
      <c r="F25" s="79">
        <f>'2018 CF'!M44</f>
        <v>0</v>
      </c>
      <c r="G25" s="79">
        <v>0</v>
      </c>
      <c r="H25" s="79">
        <f>'2018 CF'!M14+'2018 CF'!M48-'2018 CF'!M44</f>
        <v>187552000</v>
      </c>
      <c r="I25" s="79">
        <v>0</v>
      </c>
    </row>
    <row r="26" spans="1:10">
      <c r="A26" s="14" t="s">
        <v>342</v>
      </c>
      <c r="B26" s="11">
        <f>SUM(C26:I26)</f>
        <v>837424700.89999998</v>
      </c>
      <c r="C26" s="79">
        <f>'2019 CF'!M40</f>
        <v>761288338.89999998</v>
      </c>
      <c r="D26" s="79">
        <v>0</v>
      </c>
      <c r="E26" s="79" t="s">
        <v>161</v>
      </c>
      <c r="F26" s="79">
        <f>'2019 CF'!M47+'2019 CF'!M48+'2019 CF'!M49+'2019 CF'!M55</f>
        <v>0</v>
      </c>
      <c r="G26" s="79">
        <f>'2019 CF'!M45+'2019 CF'!M50+'2019 CF'!M54</f>
        <v>0</v>
      </c>
      <c r="H26" s="79">
        <f>'2019 CF'!M18+'2019 CF'!M65</f>
        <v>76136362</v>
      </c>
      <c r="I26" s="79">
        <f>'2019 CF'!M70</f>
        <v>0</v>
      </c>
    </row>
    <row r="27" spans="1:10">
      <c r="B27" s="28"/>
      <c r="C27" s="79"/>
      <c r="D27" s="79"/>
      <c r="E27" s="79"/>
      <c r="F27" s="79"/>
      <c r="G27" s="79"/>
      <c r="H27" s="79"/>
      <c r="I27" s="79"/>
    </row>
    <row r="28" spans="1:10" ht="12" customHeight="1" thickBot="1">
      <c r="B28" s="129">
        <f>SUM(B22:B26)</f>
        <v>1311359797.1200001</v>
      </c>
      <c r="C28" s="129">
        <f>SUM(C22:C27)</f>
        <v>997944359.89999998</v>
      </c>
      <c r="D28" s="129">
        <f t="shared" ref="D28:I28" si="1">SUM(D22:D27)</f>
        <v>234466582.09999999</v>
      </c>
      <c r="E28" s="129">
        <f t="shared" si="1"/>
        <v>60891350</v>
      </c>
      <c r="F28" s="129">
        <f t="shared" si="1"/>
        <v>31547897</v>
      </c>
      <c r="G28" s="129">
        <f t="shared" si="1"/>
        <v>1039794</v>
      </c>
      <c r="H28" s="129">
        <f t="shared" si="1"/>
        <v>503503949.05000001</v>
      </c>
      <c r="I28" s="129">
        <f t="shared" si="1"/>
        <v>368537865.07000017</v>
      </c>
    </row>
    <row r="29" spans="1:10" ht="12.75" thickTop="1">
      <c r="B29" s="14"/>
      <c r="C29" s="11"/>
      <c r="D29" s="11"/>
      <c r="E29" s="11"/>
      <c r="F29" s="11"/>
      <c r="H29" s="11"/>
      <c r="I29" s="11"/>
    </row>
    <row r="30" spans="1:10">
      <c r="A30" s="16"/>
      <c r="B30" s="117"/>
      <c r="D30" s="14"/>
      <c r="E30" s="14"/>
      <c r="F30" s="11"/>
      <c r="H30" s="99"/>
    </row>
    <row r="31" spans="1:10" ht="15.75">
      <c r="B31" s="299"/>
      <c r="C31" s="133"/>
      <c r="D31" s="14"/>
      <c r="E31" s="11" t="s">
        <v>7</v>
      </c>
      <c r="G31" s="11"/>
    </row>
    <row r="32" spans="1:10" ht="15.75">
      <c r="B32" s="382"/>
      <c r="C32" s="260"/>
      <c r="E32" s="16"/>
      <c r="F32" s="307"/>
      <c r="G32" s="68"/>
      <c r="H32" s="68"/>
      <c r="I32" s="253"/>
    </row>
    <row r="33" spans="2:9">
      <c r="B33" s="380"/>
      <c r="C33" s="48"/>
      <c r="D33" s="68"/>
      <c r="E33" s="13"/>
      <c r="F33" s="13"/>
      <c r="G33" s="13"/>
      <c r="H33" s="13"/>
      <c r="I33" s="13"/>
    </row>
    <row r="34" spans="2:9">
      <c r="B34" s="11"/>
      <c r="C34" s="64"/>
      <c r="D34" s="64"/>
      <c r="E34" s="64"/>
      <c r="F34" s="64"/>
      <c r="G34" s="64"/>
      <c r="H34" s="64"/>
      <c r="I34" s="64"/>
    </row>
    <row r="35" spans="2:9">
      <c r="B35" s="11"/>
      <c r="C35" s="222"/>
      <c r="D35" s="11"/>
      <c r="E35" s="11"/>
      <c r="F35" s="11"/>
      <c r="G35" s="11"/>
      <c r="H35" s="11"/>
      <c r="I35" s="11"/>
    </row>
    <row r="36" spans="2:9">
      <c r="B36" s="181"/>
      <c r="C36" s="221"/>
      <c r="D36" s="14"/>
      <c r="E36" s="14"/>
      <c r="G36" s="13"/>
      <c r="H36" s="134"/>
    </row>
    <row r="37" spans="2:9">
      <c r="B37" s="76"/>
      <c r="D37" s="14"/>
      <c r="E37" s="14"/>
      <c r="F37" s="11"/>
    </row>
    <row r="38" spans="2:9">
      <c r="B38" s="57"/>
      <c r="C38" s="127"/>
      <c r="D38" s="14"/>
      <c r="E38" s="14"/>
      <c r="F38" s="11"/>
      <c r="H38" s="11"/>
    </row>
    <row r="39" spans="2:9">
      <c r="B39" s="101"/>
      <c r="D39" s="133"/>
      <c r="E39" s="14"/>
    </row>
    <row r="40" spans="2:9">
      <c r="B40" s="338"/>
      <c r="D40" s="99"/>
      <c r="E40" s="14"/>
      <c r="H40" s="127"/>
    </row>
    <row r="41" spans="2:9" ht="12.75">
      <c r="B41" s="14"/>
      <c r="C41" s="135"/>
      <c r="D41" s="99"/>
      <c r="E41" s="14"/>
    </row>
    <row r="42" spans="2:9" ht="12.75">
      <c r="C42" s="136"/>
      <c r="D42" s="99"/>
      <c r="E42" s="14"/>
    </row>
    <row r="43" spans="2:9">
      <c r="B43"/>
      <c r="C43" s="101"/>
      <c r="D43" s="99"/>
      <c r="E43" s="14"/>
    </row>
    <row r="44" spans="2:9">
      <c r="B44" s="14"/>
      <c r="D44" s="14"/>
      <c r="E44" s="14"/>
    </row>
    <row r="45" spans="2:9">
      <c r="B45" s="14"/>
      <c r="D45" s="99"/>
      <c r="E45" s="14"/>
    </row>
    <row r="46" spans="2:9">
      <c r="B46" s="14"/>
      <c r="D46" s="14"/>
      <c r="E46" s="14"/>
      <c r="H46" s="99"/>
    </row>
    <row r="47" spans="2:9">
      <c r="B47" s="14"/>
      <c r="D47" s="14"/>
      <c r="E47" s="14"/>
    </row>
    <row r="48" spans="2:9">
      <c r="B48" s="14"/>
      <c r="D48" s="14"/>
      <c r="E48" s="14"/>
    </row>
    <row r="49" spans="2:7">
      <c r="B49" s="14"/>
      <c r="D49" s="14"/>
      <c r="E49" s="14"/>
    </row>
    <row r="50" spans="2:7">
      <c r="B50" s="14"/>
      <c r="D50" s="14"/>
      <c r="E50" s="14"/>
    </row>
    <row r="51" spans="2:7">
      <c r="B51" s="14"/>
      <c r="D51" s="14"/>
      <c r="E51" s="14"/>
    </row>
    <row r="52" spans="2:7">
      <c r="B52" s="14"/>
      <c r="D52" s="14"/>
      <c r="E52" s="14"/>
    </row>
    <row r="53" spans="2:7">
      <c r="B53" s="57"/>
      <c r="D53" s="14"/>
      <c r="E53" s="14"/>
    </row>
    <row r="54" spans="2:7">
      <c r="B54" s="76"/>
      <c r="D54" s="14"/>
      <c r="E54" s="14"/>
    </row>
    <row r="55" spans="2:7">
      <c r="B55" s="57"/>
      <c r="D55" s="14"/>
      <c r="E55" s="14"/>
    </row>
    <row r="56" spans="2:7">
      <c r="B56" s="57"/>
      <c r="D56" s="14"/>
      <c r="E56" s="14"/>
    </row>
    <row r="57" spans="2:7">
      <c r="B57" s="14"/>
      <c r="D57" s="14"/>
      <c r="E57" s="14"/>
      <c r="F57" s="101"/>
      <c r="G57" s="101"/>
    </row>
    <row r="58" spans="2:7">
      <c r="B58" s="14"/>
      <c r="D58" s="14"/>
      <c r="E58" s="14"/>
    </row>
    <row r="59" spans="2:7">
      <c r="B59" s="14"/>
      <c r="D59" s="14"/>
      <c r="E59" s="14"/>
    </row>
    <row r="60" spans="2:7">
      <c r="B60" s="14"/>
      <c r="D60" s="14"/>
      <c r="E60" s="14"/>
    </row>
    <row r="61" spans="2:7">
      <c r="B61" s="14"/>
      <c r="D61" s="14"/>
      <c r="E61" s="14"/>
    </row>
    <row r="62" spans="2:7">
      <c r="B62" s="14"/>
      <c r="D62" s="14"/>
      <c r="E62" s="14"/>
    </row>
    <row r="63" spans="2:7">
      <c r="B63" s="14"/>
      <c r="D63" s="14"/>
      <c r="E63" s="14"/>
    </row>
    <row r="64" spans="2:7">
      <c r="B64" s="14"/>
      <c r="D64" s="14"/>
      <c r="E64" s="14"/>
    </row>
    <row r="65" spans="2:9">
      <c r="B65" s="14"/>
      <c r="D65" s="14"/>
      <c r="E65" s="14"/>
    </row>
    <row r="66" spans="2:9">
      <c r="B66" s="14"/>
      <c r="D66" s="14"/>
      <c r="E66" s="14"/>
    </row>
    <row r="67" spans="2:9">
      <c r="B67" s="14"/>
      <c r="D67" s="14"/>
      <c r="E67" s="14"/>
    </row>
    <row r="68" spans="2:9">
      <c r="B68" s="14"/>
      <c r="D68" s="14"/>
      <c r="E68" s="14"/>
    </row>
    <row r="69" spans="2:9">
      <c r="B69" s="14"/>
      <c r="D69" s="14"/>
      <c r="E69" s="14"/>
    </row>
    <row r="70" spans="2:9">
      <c r="B70" s="14"/>
      <c r="D70" s="14"/>
      <c r="E70" s="14"/>
    </row>
    <row r="71" spans="2:9">
      <c r="B71" s="14"/>
      <c r="D71" s="14"/>
      <c r="E71" s="14"/>
    </row>
    <row r="72" spans="2:9">
      <c r="B72" s="14"/>
      <c r="D72" s="14"/>
      <c r="E72" s="14"/>
    </row>
    <row r="73" spans="2:9">
      <c r="B73" s="14"/>
      <c r="D73" s="14"/>
      <c r="E73" s="14"/>
      <c r="F73" s="99"/>
      <c r="G73" s="99"/>
    </row>
    <row r="74" spans="2:9">
      <c r="B74" s="14"/>
      <c r="D74" s="76"/>
      <c r="E74" s="76"/>
      <c r="F74" s="76"/>
      <c r="G74" s="76"/>
      <c r="I74" s="101"/>
    </row>
    <row r="75" spans="2:9">
      <c r="B75" s="14"/>
      <c r="D75" s="14"/>
      <c r="E75" s="14"/>
      <c r="F75" s="99"/>
      <c r="G75" s="99"/>
    </row>
    <row r="76" spans="2:9">
      <c r="B76" s="14"/>
      <c r="D76" s="14"/>
      <c r="E76" s="14"/>
      <c r="F76" s="101"/>
      <c r="G76" s="101"/>
    </row>
    <row r="77" spans="2:9">
      <c r="B77" s="14"/>
      <c r="C77" s="9"/>
      <c r="D77" s="14"/>
      <c r="E77" s="14"/>
    </row>
    <row r="78" spans="2:9">
      <c r="B78" s="14"/>
      <c r="D78" s="14"/>
      <c r="E78" s="14"/>
    </row>
    <row r="79" spans="2:9">
      <c r="B79" s="14"/>
      <c r="D79" s="14"/>
      <c r="E79" s="14"/>
    </row>
    <row r="80" spans="2:9">
      <c r="B80" s="14"/>
      <c r="D80" s="14"/>
      <c r="E80" s="14"/>
    </row>
    <row r="81" s="14" customFormat="1"/>
    <row r="82" s="14" customFormat="1"/>
    <row r="83" s="14" customFormat="1"/>
    <row r="84" s="14" customFormat="1"/>
    <row r="85" s="14" customFormat="1"/>
    <row r="86" s="14" customFormat="1"/>
    <row r="87" s="14" customFormat="1"/>
    <row r="88" s="14" customFormat="1"/>
    <row r="89" s="14" customFormat="1"/>
    <row r="90" s="14" customFormat="1"/>
    <row r="91" s="14" customFormat="1"/>
    <row r="92" s="14" customFormat="1"/>
    <row r="93" s="14" customFormat="1"/>
    <row r="94" s="14" customFormat="1"/>
    <row r="95" s="14" customFormat="1"/>
    <row r="96" s="14" customFormat="1"/>
    <row r="97" s="14" customFormat="1"/>
    <row r="98" s="14" customFormat="1"/>
    <row r="99" s="14" customFormat="1"/>
    <row r="100" s="14" customFormat="1"/>
  </sheetData>
  <phoneticPr fontId="0" type="noConversion"/>
  <pageMargins left="0.75" right="0.75" top="1" bottom="1" header="0.5" footer="0.5"/>
  <pageSetup scale="74" orientation="landscape" r:id="rId1"/>
  <headerFooter alignWithMargins="0">
    <oddHeader>&amp;C&amp;"Geneva,Bold"&amp;10STATE OF TEXAS
2016 PRIVATE ACTIVITY BOND ALLOCATION PROGRAM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R87"/>
  <sheetViews>
    <sheetView workbookViewId="0">
      <selection activeCell="F24" sqref="F24"/>
    </sheetView>
  </sheetViews>
  <sheetFormatPr defaultRowHeight="12"/>
  <cols>
    <col min="1" max="1" width="10.140625" customWidth="1"/>
    <col min="2" max="2" width="8.7109375" customWidth="1"/>
    <col min="3" max="3" width="32.7109375" bestFit="1" customWidth="1"/>
    <col min="4" max="4" width="32.7109375" customWidth="1"/>
    <col min="5" max="5" width="12.140625" bestFit="1" customWidth="1"/>
    <col min="6" max="6" width="16.42578125" bestFit="1" customWidth="1"/>
    <col min="7" max="7" width="17.42578125" bestFit="1" customWidth="1"/>
    <col min="8" max="8" width="15.28515625" bestFit="1" customWidth="1"/>
    <col min="9" max="9" width="12.140625" bestFit="1" customWidth="1"/>
    <col min="10" max="10" width="14.7109375" bestFit="1" customWidth="1"/>
    <col min="11" max="11" width="11.85546875" bestFit="1" customWidth="1"/>
    <col min="12" max="12" width="17.5703125" bestFit="1" customWidth="1"/>
    <col min="13" max="13" width="18.5703125" bestFit="1" customWidth="1"/>
    <col min="14" max="14" width="11.7109375" bestFit="1" customWidth="1"/>
    <col min="15" max="15" width="16.28515625" bestFit="1" customWidth="1"/>
    <col min="16" max="16" width="9.85546875" bestFit="1" customWidth="1"/>
  </cols>
  <sheetData>
    <row r="1" spans="1:14" ht="12.75">
      <c r="A1" s="281"/>
      <c r="B1" s="281" t="s">
        <v>401</v>
      </c>
      <c r="C1" s="283"/>
      <c r="D1" s="284"/>
      <c r="E1" s="286"/>
      <c r="F1" s="309"/>
      <c r="G1" s="309"/>
      <c r="H1" s="310"/>
      <c r="I1" s="310"/>
      <c r="J1" s="311"/>
      <c r="K1" s="310"/>
      <c r="L1" s="309"/>
      <c r="M1" s="310"/>
      <c r="N1" s="330"/>
    </row>
    <row r="2" spans="1:14" ht="12.75">
      <c r="A2" s="271" t="s">
        <v>34</v>
      </c>
      <c r="B2" s="272" t="s">
        <v>39</v>
      </c>
      <c r="C2" s="177" t="s">
        <v>32</v>
      </c>
      <c r="D2" s="273" t="s">
        <v>51</v>
      </c>
      <c r="E2" s="273" t="s">
        <v>47</v>
      </c>
      <c r="F2" s="312" t="s">
        <v>92</v>
      </c>
      <c r="G2" s="312" t="s">
        <v>93</v>
      </c>
      <c r="H2" s="313" t="s">
        <v>104</v>
      </c>
      <c r="I2" s="313" t="s">
        <v>94</v>
      </c>
      <c r="J2" s="314" t="s">
        <v>95</v>
      </c>
      <c r="K2" s="313"/>
      <c r="L2" s="312" t="s">
        <v>96</v>
      </c>
      <c r="M2" s="315" t="s">
        <v>97</v>
      </c>
      <c r="N2" s="331" t="s">
        <v>23</v>
      </c>
    </row>
    <row r="3" spans="1:14" ht="12.75">
      <c r="A3" s="271" t="s">
        <v>50</v>
      </c>
      <c r="B3" s="274"/>
      <c r="C3" s="177"/>
      <c r="D3" s="273"/>
      <c r="E3" s="273"/>
      <c r="F3" s="312" t="s">
        <v>57</v>
      </c>
      <c r="G3" s="312" t="s">
        <v>57</v>
      </c>
      <c r="H3" s="313" t="s">
        <v>9</v>
      </c>
      <c r="I3" s="313" t="s">
        <v>18</v>
      </c>
      <c r="J3" s="314" t="s">
        <v>57</v>
      </c>
      <c r="K3" s="313" t="s">
        <v>18</v>
      </c>
      <c r="L3" s="312" t="s">
        <v>57</v>
      </c>
      <c r="M3" s="315" t="s">
        <v>98</v>
      </c>
      <c r="N3" s="331" t="s">
        <v>5</v>
      </c>
    </row>
    <row r="4" spans="1:14" ht="13.5" thickBot="1">
      <c r="A4" s="275" t="s">
        <v>17</v>
      </c>
      <c r="B4" s="276"/>
      <c r="C4" s="277"/>
      <c r="D4" s="278"/>
      <c r="E4" s="278"/>
      <c r="F4" s="316"/>
      <c r="G4" s="316"/>
      <c r="H4" s="317"/>
      <c r="I4" s="317"/>
      <c r="J4" s="318"/>
      <c r="K4" s="317"/>
      <c r="L4" s="316"/>
      <c r="M4" s="316"/>
      <c r="N4" s="332" t="s">
        <v>9</v>
      </c>
    </row>
    <row r="5" spans="1:14" ht="12.75">
      <c r="A5" s="32" t="s">
        <v>174</v>
      </c>
      <c r="B5" s="274"/>
      <c r="C5" s="177"/>
      <c r="D5" s="273"/>
      <c r="E5" s="273"/>
      <c r="F5" s="312"/>
      <c r="G5" s="312"/>
      <c r="H5" s="313"/>
      <c r="I5" s="313"/>
      <c r="J5" s="314"/>
      <c r="K5" s="313"/>
      <c r="L5" s="312"/>
      <c r="M5" s="312"/>
      <c r="N5" s="532"/>
    </row>
    <row r="6" spans="1:14" s="326" customFormat="1">
      <c r="A6" s="4" t="s">
        <v>571</v>
      </c>
      <c r="B6" s="4" t="s">
        <v>80</v>
      </c>
      <c r="C6" s="565" t="s">
        <v>106</v>
      </c>
      <c r="D6" s="4" t="s">
        <v>572</v>
      </c>
      <c r="E6" s="4" t="s">
        <v>83</v>
      </c>
      <c r="F6" s="77">
        <v>35000000</v>
      </c>
      <c r="G6" s="77">
        <v>35000000</v>
      </c>
      <c r="H6" s="301">
        <v>42738</v>
      </c>
      <c r="I6" s="301">
        <v>42753</v>
      </c>
      <c r="J6" s="128">
        <f>G6</f>
        <v>35000000</v>
      </c>
      <c r="K6" s="301">
        <v>43829</v>
      </c>
      <c r="L6" s="70"/>
      <c r="M6" s="128">
        <f>J6</f>
        <v>35000000</v>
      </c>
      <c r="N6" s="4"/>
    </row>
    <row r="7" spans="1:14" s="326" customFormat="1">
      <c r="A7" s="54" t="s">
        <v>576</v>
      </c>
      <c r="B7" s="4" t="s">
        <v>80</v>
      </c>
      <c r="C7" s="565" t="s">
        <v>281</v>
      </c>
      <c r="D7" s="54" t="s">
        <v>265</v>
      </c>
      <c r="E7" s="54" t="s">
        <v>85</v>
      </c>
      <c r="F7" s="77">
        <v>50000000</v>
      </c>
      <c r="G7" s="77">
        <v>50000000</v>
      </c>
      <c r="H7" s="301">
        <v>42738</v>
      </c>
      <c r="I7" s="301">
        <v>42753</v>
      </c>
      <c r="J7" s="128">
        <f t="shared" ref="J7:J8" si="0">G7</f>
        <v>50000000</v>
      </c>
      <c r="K7" s="301">
        <v>43829</v>
      </c>
      <c r="L7" s="70"/>
      <c r="M7" s="128">
        <f t="shared" ref="M7:M8" si="1">J7</f>
        <v>50000000</v>
      </c>
      <c r="N7" s="4"/>
    </row>
    <row r="8" spans="1:14" s="326" customFormat="1">
      <c r="A8" s="4" t="s">
        <v>423</v>
      </c>
      <c r="B8" s="4" t="s">
        <v>80</v>
      </c>
      <c r="C8" s="565" t="s">
        <v>260</v>
      </c>
      <c r="D8" s="4" t="s">
        <v>339</v>
      </c>
      <c r="E8" s="4" t="s">
        <v>256</v>
      </c>
      <c r="F8" s="77">
        <v>45000000</v>
      </c>
      <c r="G8" s="80">
        <f>F24-85000000</f>
        <v>11023000.300000072</v>
      </c>
      <c r="H8" s="301">
        <v>42738</v>
      </c>
      <c r="I8" s="301">
        <v>42753</v>
      </c>
      <c r="J8" s="128">
        <f t="shared" si="0"/>
        <v>11023000.300000072</v>
      </c>
      <c r="K8" s="301">
        <v>43829</v>
      </c>
      <c r="L8" s="70"/>
      <c r="M8" s="128">
        <f t="shared" si="1"/>
        <v>11023000.300000072</v>
      </c>
      <c r="N8" s="4"/>
    </row>
    <row r="9" spans="1:14">
      <c r="A9" s="1" t="s">
        <v>579</v>
      </c>
      <c r="B9" s="1" t="s">
        <v>45</v>
      </c>
      <c r="C9" s="250" t="s">
        <v>156</v>
      </c>
      <c r="D9" s="1" t="s">
        <v>580</v>
      </c>
      <c r="E9" s="1" t="s">
        <v>83</v>
      </c>
      <c r="F9" s="83">
        <v>40000000</v>
      </c>
      <c r="G9" s="79"/>
      <c r="H9" s="207"/>
      <c r="I9" s="207"/>
      <c r="J9" s="207"/>
      <c r="K9" s="207"/>
      <c r="L9" s="207"/>
      <c r="M9" s="207"/>
      <c r="N9" s="1"/>
    </row>
    <row r="10" spans="1:14">
      <c r="A10" s="1" t="s">
        <v>581</v>
      </c>
      <c r="B10" s="1" t="s">
        <v>45</v>
      </c>
      <c r="C10" s="250" t="s">
        <v>422</v>
      </c>
      <c r="D10" s="1" t="s">
        <v>250</v>
      </c>
      <c r="E10" s="1" t="s">
        <v>84</v>
      </c>
      <c r="F10" s="83">
        <v>48000000</v>
      </c>
      <c r="G10" s="79"/>
      <c r="H10" s="207"/>
      <c r="I10" s="207"/>
      <c r="J10" s="207"/>
      <c r="K10" s="207"/>
      <c r="L10" s="207"/>
      <c r="M10" s="207"/>
      <c r="N10" s="1"/>
    </row>
    <row r="11" spans="1:14">
      <c r="C11" s="250"/>
      <c r="D11" s="45"/>
      <c r="E11" s="45"/>
      <c r="F11" s="319"/>
      <c r="G11" s="319"/>
      <c r="H11" s="207"/>
      <c r="I11" s="207"/>
      <c r="J11" s="207"/>
      <c r="K11" s="207"/>
      <c r="L11" s="207"/>
      <c r="M11" s="207"/>
      <c r="N11" s="1"/>
    </row>
    <row r="12" spans="1:14">
      <c r="A12" s="32" t="s">
        <v>99</v>
      </c>
      <c r="F12" s="320"/>
      <c r="G12" s="320"/>
      <c r="H12" s="207"/>
      <c r="I12" s="207"/>
      <c r="J12" s="207"/>
      <c r="K12" s="207"/>
      <c r="L12" s="207"/>
      <c r="M12" s="207"/>
      <c r="N12" s="1"/>
    </row>
    <row r="13" spans="1:14">
      <c r="A13" s="1" t="s">
        <v>400</v>
      </c>
      <c r="B13" s="1" t="s">
        <v>45</v>
      </c>
      <c r="C13" s="250" t="s">
        <v>150</v>
      </c>
      <c r="D13" s="1" t="s">
        <v>293</v>
      </c>
      <c r="E13" s="1" t="s">
        <v>83</v>
      </c>
      <c r="F13" s="83">
        <v>45000000</v>
      </c>
      <c r="G13" s="79"/>
      <c r="H13" s="207"/>
      <c r="I13" s="207"/>
      <c r="J13" s="207"/>
      <c r="K13" s="207"/>
      <c r="L13" s="207"/>
      <c r="M13" s="207"/>
      <c r="N13" s="1"/>
    </row>
    <row r="14" spans="1:14">
      <c r="A14" s="1" t="s">
        <v>472</v>
      </c>
      <c r="B14" s="1" t="s">
        <v>45</v>
      </c>
      <c r="C14" s="250" t="s">
        <v>305</v>
      </c>
      <c r="D14" s="1" t="s">
        <v>438</v>
      </c>
      <c r="E14" s="1" t="s">
        <v>83</v>
      </c>
      <c r="F14" s="83">
        <v>50000000</v>
      </c>
      <c r="G14" s="79"/>
      <c r="H14" s="207"/>
      <c r="I14" s="207"/>
      <c r="J14" s="207"/>
      <c r="K14" s="207"/>
      <c r="L14" s="207"/>
      <c r="M14" s="207"/>
      <c r="N14" s="1"/>
    </row>
    <row r="15" spans="1:14">
      <c r="A15" s="1" t="s">
        <v>473</v>
      </c>
      <c r="B15" s="1" t="s">
        <v>45</v>
      </c>
      <c r="C15" s="250" t="s">
        <v>305</v>
      </c>
      <c r="D15" s="1" t="s">
        <v>474</v>
      </c>
      <c r="E15" s="1" t="s">
        <v>83</v>
      </c>
      <c r="F15" s="83">
        <v>50000000</v>
      </c>
      <c r="G15" s="79"/>
      <c r="H15" s="207"/>
      <c r="I15" s="207"/>
      <c r="J15" s="207"/>
      <c r="K15" s="207"/>
      <c r="L15" s="207"/>
      <c r="M15" s="207"/>
      <c r="N15" s="1"/>
    </row>
    <row r="16" spans="1:14">
      <c r="A16" s="1" t="s">
        <v>475</v>
      </c>
      <c r="B16" s="1" t="s">
        <v>45</v>
      </c>
      <c r="C16" s="250" t="s">
        <v>106</v>
      </c>
      <c r="D16" s="1" t="s">
        <v>476</v>
      </c>
      <c r="E16" s="1" t="s">
        <v>83</v>
      </c>
      <c r="F16" s="83">
        <v>48000000</v>
      </c>
      <c r="G16" s="79"/>
      <c r="H16" s="207"/>
      <c r="I16" s="207"/>
      <c r="J16" s="207"/>
      <c r="K16" s="207"/>
      <c r="L16" s="207"/>
      <c r="M16" s="207"/>
      <c r="N16" s="1"/>
    </row>
    <row r="17" spans="1:14">
      <c r="A17" s="1" t="s">
        <v>486</v>
      </c>
      <c r="B17" s="1" t="s">
        <v>45</v>
      </c>
      <c r="C17" s="250" t="s">
        <v>150</v>
      </c>
      <c r="D17" s="1" t="s">
        <v>488</v>
      </c>
      <c r="E17" s="1" t="s">
        <v>487</v>
      </c>
      <c r="F17" s="83">
        <v>50000000</v>
      </c>
      <c r="G17" s="79"/>
      <c r="H17" s="207"/>
      <c r="I17" s="207"/>
      <c r="J17" s="207"/>
      <c r="K17" s="207"/>
      <c r="L17" s="207"/>
      <c r="M17" s="207"/>
      <c r="N17" s="1"/>
    </row>
    <row r="18" spans="1:14">
      <c r="A18" s="1" t="s">
        <v>568</v>
      </c>
      <c r="B18" s="1" t="s">
        <v>45</v>
      </c>
      <c r="C18" s="250" t="s">
        <v>106</v>
      </c>
      <c r="D18" s="1" t="s">
        <v>567</v>
      </c>
      <c r="E18" s="1" t="s">
        <v>83</v>
      </c>
      <c r="F18" s="83">
        <v>50000000</v>
      </c>
      <c r="G18" s="79"/>
      <c r="H18" s="207"/>
      <c r="I18" s="207"/>
      <c r="J18" s="207"/>
      <c r="K18" s="207"/>
      <c r="L18" s="207"/>
      <c r="M18" s="207"/>
      <c r="N18" s="1"/>
    </row>
    <row r="19" spans="1:14">
      <c r="A19" s="1" t="s">
        <v>573</v>
      </c>
      <c r="B19" s="1" t="s">
        <v>45</v>
      </c>
      <c r="C19" s="250" t="s">
        <v>106</v>
      </c>
      <c r="D19" s="1" t="s">
        <v>575</v>
      </c>
      <c r="E19" s="1" t="s">
        <v>574</v>
      </c>
      <c r="F19" s="83">
        <v>50000000</v>
      </c>
      <c r="G19" s="79"/>
      <c r="H19" s="207"/>
      <c r="I19" s="207"/>
      <c r="J19" s="207"/>
      <c r="K19" s="207"/>
      <c r="L19" s="207"/>
      <c r="M19" s="207"/>
      <c r="N19" s="1"/>
    </row>
    <row r="20" spans="1:14">
      <c r="A20" s="1"/>
      <c r="B20" s="1"/>
      <c r="C20" s="250"/>
      <c r="D20" s="1"/>
      <c r="E20" s="1"/>
      <c r="F20" s="83"/>
      <c r="G20" s="79"/>
      <c r="H20" s="207"/>
      <c r="I20" s="207"/>
      <c r="J20" s="207"/>
      <c r="K20" s="207"/>
      <c r="L20" s="207"/>
      <c r="M20" s="207"/>
      <c r="N20" s="1"/>
    </row>
    <row r="21" spans="1:14">
      <c r="A21" s="1"/>
      <c r="B21" s="1"/>
      <c r="C21" s="1"/>
      <c r="D21" s="1"/>
      <c r="E21" s="1"/>
      <c r="F21" s="344">
        <f>SUM(F5:F19)</f>
        <v>561000000</v>
      </c>
      <c r="G21" s="344">
        <f>SUM(G6:G19)</f>
        <v>96023000.300000072</v>
      </c>
      <c r="H21" s="207"/>
      <c r="I21" s="207"/>
      <c r="J21" s="207"/>
      <c r="K21" s="207"/>
      <c r="L21" s="113">
        <f>SUM(L7:L13)</f>
        <v>0</v>
      </c>
      <c r="M21" s="113"/>
      <c r="N21" s="1"/>
    </row>
    <row r="22" spans="1:14">
      <c r="A22" s="1"/>
      <c r="B22" s="1"/>
      <c r="C22" s="1"/>
      <c r="D22" s="1"/>
      <c r="E22" s="1"/>
      <c r="F22" s="79"/>
      <c r="G22" s="79"/>
      <c r="H22" s="207"/>
      <c r="I22" s="207"/>
      <c r="J22" s="207"/>
      <c r="K22" s="207"/>
      <c r="L22" s="79"/>
      <c r="M22" s="79"/>
      <c r="N22" s="1"/>
    </row>
    <row r="23" spans="1:14" ht="12.75" thickBot="1">
      <c r="A23" s="1"/>
      <c r="B23" s="1"/>
      <c r="C23" s="1"/>
      <c r="D23" s="1"/>
      <c r="E23" s="1"/>
      <c r="F23" s="79"/>
      <c r="G23" s="79"/>
      <c r="H23" s="207"/>
      <c r="I23" s="207"/>
      <c r="J23" s="207"/>
      <c r="K23" s="207"/>
      <c r="L23" s="79"/>
      <c r="M23" s="79"/>
      <c r="N23" s="1"/>
    </row>
    <row r="24" spans="1:14" ht="12.75" thickBot="1">
      <c r="A24" s="1"/>
      <c r="B24" s="1"/>
      <c r="C24" s="1"/>
      <c r="D24" s="351" t="s">
        <v>214</v>
      </c>
      <c r="E24" s="352"/>
      <c r="F24" s="355">
        <f>'Aug 15'!F59</f>
        <v>96023000.300000072</v>
      </c>
      <c r="G24" s="79"/>
      <c r="H24" s="79"/>
      <c r="I24" s="207"/>
      <c r="J24" s="207"/>
      <c r="K24" s="207"/>
      <c r="L24" s="79"/>
      <c r="M24" s="79"/>
      <c r="N24" s="1"/>
    </row>
    <row r="25" spans="1:14">
      <c r="A25" s="1"/>
      <c r="B25" s="1"/>
      <c r="C25" s="1"/>
      <c r="D25" s="1"/>
      <c r="E25" s="1"/>
      <c r="F25" s="79"/>
      <c r="G25" s="79"/>
      <c r="H25" s="207"/>
      <c r="I25" s="207"/>
      <c r="J25" s="207"/>
      <c r="K25" s="207"/>
      <c r="L25" s="79"/>
      <c r="M25" s="79"/>
      <c r="N25" s="1"/>
    </row>
    <row r="26" spans="1:14">
      <c r="F26" s="343"/>
      <c r="G26" s="343"/>
    </row>
    <row r="28" spans="1:14" ht="12.75" thickBot="1">
      <c r="A28" s="1"/>
      <c r="B28" s="1"/>
      <c r="C28" s="250"/>
      <c r="D28" s="1"/>
      <c r="E28" s="1"/>
      <c r="F28" s="83"/>
      <c r="G28" s="79"/>
      <c r="H28" s="207"/>
      <c r="I28" s="207"/>
      <c r="J28" s="207"/>
      <c r="K28" s="207"/>
      <c r="L28" s="207"/>
      <c r="M28" s="207"/>
      <c r="N28" s="1"/>
    </row>
    <row r="29" spans="1:14" ht="12.75">
      <c r="A29" s="281"/>
      <c r="B29" s="281" t="s">
        <v>402</v>
      </c>
      <c r="C29" s="204"/>
      <c r="D29" s="204"/>
      <c r="E29" s="204"/>
      <c r="F29" s="321"/>
      <c r="G29" s="321"/>
      <c r="H29" s="321"/>
      <c r="I29" s="321"/>
      <c r="J29" s="321"/>
      <c r="K29" s="321"/>
      <c r="L29" s="321"/>
      <c r="M29" s="321"/>
      <c r="N29" s="333"/>
    </row>
    <row r="30" spans="1:14" ht="12.75">
      <c r="A30" s="271" t="s">
        <v>34</v>
      </c>
      <c r="B30" s="272" t="s">
        <v>39</v>
      </c>
      <c r="C30" s="177" t="s">
        <v>32</v>
      </c>
      <c r="D30" s="280" t="s">
        <v>51</v>
      </c>
      <c r="E30" s="280" t="s">
        <v>47</v>
      </c>
      <c r="F30" s="312" t="s">
        <v>92</v>
      </c>
      <c r="G30" s="312" t="s">
        <v>56</v>
      </c>
      <c r="H30" s="313"/>
      <c r="I30" s="313" t="s">
        <v>36</v>
      </c>
      <c r="J30" s="314" t="s">
        <v>95</v>
      </c>
      <c r="K30" s="313"/>
      <c r="L30" s="312" t="s">
        <v>100</v>
      </c>
      <c r="M30" s="315" t="s">
        <v>97</v>
      </c>
      <c r="N30" s="331" t="s">
        <v>23</v>
      </c>
    </row>
    <row r="31" spans="1:14" ht="12.75">
      <c r="A31" s="271" t="s">
        <v>50</v>
      </c>
      <c r="B31" s="274"/>
      <c r="C31" s="177"/>
      <c r="D31" s="280"/>
      <c r="E31" s="280"/>
      <c r="F31" s="312" t="s">
        <v>57</v>
      </c>
      <c r="G31" s="312" t="s">
        <v>57</v>
      </c>
      <c r="H31" s="313" t="s">
        <v>9</v>
      </c>
      <c r="I31" s="313" t="s">
        <v>18</v>
      </c>
      <c r="J31" s="314" t="s">
        <v>57</v>
      </c>
      <c r="K31" s="313" t="s">
        <v>18</v>
      </c>
      <c r="L31" s="312" t="s">
        <v>57</v>
      </c>
      <c r="M31" s="315" t="s">
        <v>98</v>
      </c>
      <c r="N31" s="331" t="s">
        <v>5</v>
      </c>
    </row>
    <row r="32" spans="1:14" ht="13.5" thickBot="1">
      <c r="A32" s="275" t="s">
        <v>17</v>
      </c>
      <c r="B32" s="276"/>
      <c r="C32" s="277"/>
      <c r="D32" s="279"/>
      <c r="E32" s="279"/>
      <c r="F32" s="316"/>
      <c r="G32" s="316"/>
      <c r="H32" s="317"/>
      <c r="I32" s="317"/>
      <c r="J32" s="322"/>
      <c r="K32" s="317"/>
      <c r="L32" s="316"/>
      <c r="M32" s="323" t="s">
        <v>101</v>
      </c>
      <c r="N32" s="332" t="s">
        <v>9</v>
      </c>
    </row>
    <row r="33" spans="1:17">
      <c r="A33" s="285" t="s">
        <v>58</v>
      </c>
    </row>
    <row r="34" spans="1:17" s="14" customFormat="1">
      <c r="A34" s="14">
        <v>4638</v>
      </c>
      <c r="B34" s="45" t="s">
        <v>80</v>
      </c>
      <c r="C34" s="250" t="s">
        <v>184</v>
      </c>
      <c r="D34" s="250" t="s">
        <v>502</v>
      </c>
      <c r="E34" s="250" t="s">
        <v>192</v>
      </c>
      <c r="F34" s="91">
        <v>98187302</v>
      </c>
      <c r="G34" s="91">
        <v>98187302</v>
      </c>
      <c r="H34" s="12">
        <v>42584</v>
      </c>
      <c r="I34" s="12">
        <f t="shared" ref="I34" si="2">H34+35</f>
        <v>42619</v>
      </c>
      <c r="J34" s="91">
        <v>98187302</v>
      </c>
      <c r="K34" s="12">
        <f t="shared" ref="K34" si="3">H34+210</f>
        <v>42794</v>
      </c>
      <c r="L34" s="12"/>
      <c r="M34" s="97">
        <f t="shared" ref="M34:M39" si="4">J34-L34</f>
        <v>98187302</v>
      </c>
      <c r="N34" s="91"/>
      <c r="O34" s="91"/>
      <c r="P34" s="12"/>
    </row>
    <row r="35" spans="1:17" s="14" customFormat="1">
      <c r="A35" s="14">
        <v>4641</v>
      </c>
      <c r="B35" s="45" t="s">
        <v>80</v>
      </c>
      <c r="C35" s="250" t="s">
        <v>507</v>
      </c>
      <c r="D35" s="250" t="s">
        <v>506</v>
      </c>
      <c r="E35" s="250" t="s">
        <v>528</v>
      </c>
      <c r="F35" s="91">
        <v>25000000</v>
      </c>
      <c r="G35" s="91">
        <v>25000000</v>
      </c>
      <c r="H35" s="12">
        <v>42588</v>
      </c>
      <c r="I35" s="12">
        <f t="shared" ref="I35" si="5">H35+35</f>
        <v>42623</v>
      </c>
      <c r="J35" s="91">
        <v>25000000</v>
      </c>
      <c r="K35" s="12">
        <f t="shared" ref="K35" si="6">H35+210</f>
        <v>42798</v>
      </c>
      <c r="M35" s="97">
        <f t="shared" si="4"/>
        <v>25000000</v>
      </c>
      <c r="N35" s="91"/>
      <c r="O35" s="91"/>
      <c r="P35" s="12"/>
    </row>
    <row r="36" spans="1:17" s="14" customFormat="1">
      <c r="A36" s="14">
        <v>4642</v>
      </c>
      <c r="B36" s="45" t="s">
        <v>80</v>
      </c>
      <c r="C36" s="250" t="s">
        <v>565</v>
      </c>
      <c r="D36" s="250" t="s">
        <v>512</v>
      </c>
      <c r="E36" s="250" t="s">
        <v>192</v>
      </c>
      <c r="F36" s="91">
        <v>51000000</v>
      </c>
      <c r="G36" s="91">
        <v>51000000</v>
      </c>
      <c r="H36" s="12">
        <v>42588</v>
      </c>
      <c r="I36" s="12">
        <f t="shared" ref="I36:I39" si="7">H36+35</f>
        <v>42623</v>
      </c>
      <c r="J36" s="91">
        <v>51000000</v>
      </c>
      <c r="K36" s="12">
        <f t="shared" ref="K36:K39" si="8">H36+210</f>
        <v>42798</v>
      </c>
      <c r="M36" s="97">
        <f t="shared" si="4"/>
        <v>51000000</v>
      </c>
      <c r="N36" s="91"/>
      <c r="O36" s="91"/>
      <c r="P36" s="12"/>
    </row>
    <row r="37" spans="1:17" s="14" customFormat="1">
      <c r="A37" s="14">
        <v>4643</v>
      </c>
      <c r="B37" s="45" t="s">
        <v>80</v>
      </c>
      <c r="C37" s="250" t="s">
        <v>79</v>
      </c>
      <c r="D37" s="250" t="s">
        <v>163</v>
      </c>
      <c r="E37" s="250" t="s">
        <v>192</v>
      </c>
      <c r="F37" s="91">
        <v>115000000</v>
      </c>
      <c r="G37" s="91">
        <v>115000000</v>
      </c>
      <c r="H37" s="12">
        <v>42588</v>
      </c>
      <c r="I37" s="12">
        <f t="shared" si="7"/>
        <v>42623</v>
      </c>
      <c r="J37" s="91">
        <v>115000000</v>
      </c>
      <c r="K37" s="12">
        <f t="shared" si="8"/>
        <v>42798</v>
      </c>
      <c r="L37" s="91"/>
      <c r="M37" s="97">
        <f t="shared" si="4"/>
        <v>115000000</v>
      </c>
      <c r="N37" s="91"/>
      <c r="O37" s="91"/>
      <c r="P37" s="12"/>
    </row>
    <row r="38" spans="1:17" s="14" customFormat="1">
      <c r="A38" s="14">
        <v>4644</v>
      </c>
      <c r="B38" s="45" t="s">
        <v>80</v>
      </c>
      <c r="C38" s="250" t="s">
        <v>79</v>
      </c>
      <c r="D38" s="250" t="s">
        <v>172</v>
      </c>
      <c r="E38" s="250" t="s">
        <v>192</v>
      </c>
      <c r="F38" s="91">
        <v>212356465</v>
      </c>
      <c r="G38" s="91">
        <v>212356465</v>
      </c>
      <c r="H38" s="12">
        <v>42588</v>
      </c>
      <c r="I38" s="12">
        <f t="shared" si="7"/>
        <v>42623</v>
      </c>
      <c r="J38" s="91">
        <v>212356465</v>
      </c>
      <c r="K38" s="12">
        <f t="shared" si="8"/>
        <v>42798</v>
      </c>
      <c r="L38" s="91"/>
      <c r="M38" s="97">
        <f t="shared" si="4"/>
        <v>212356465</v>
      </c>
      <c r="N38" s="91"/>
      <c r="O38" s="91"/>
      <c r="P38" s="12"/>
    </row>
    <row r="39" spans="1:17" s="14" customFormat="1">
      <c r="A39" s="14">
        <v>4645</v>
      </c>
      <c r="B39" s="45" t="s">
        <v>80</v>
      </c>
      <c r="C39" s="250" t="s">
        <v>79</v>
      </c>
      <c r="D39" s="250" t="s">
        <v>172</v>
      </c>
      <c r="E39" s="250" t="s">
        <v>192</v>
      </c>
      <c r="F39" s="91">
        <v>556329254</v>
      </c>
      <c r="G39" s="91">
        <v>480329254</v>
      </c>
      <c r="H39" s="12">
        <v>42588</v>
      </c>
      <c r="I39" s="12">
        <f t="shared" si="7"/>
        <v>42623</v>
      </c>
      <c r="J39" s="91">
        <v>352028273</v>
      </c>
      <c r="K39" s="12">
        <f t="shared" si="8"/>
        <v>42798</v>
      </c>
      <c r="L39" s="91"/>
      <c r="M39" s="97">
        <f t="shared" si="4"/>
        <v>352028273</v>
      </c>
      <c r="N39" s="91"/>
      <c r="O39" s="91"/>
      <c r="P39" s="12"/>
    </row>
    <row r="40" spans="1:17">
      <c r="F40" s="319"/>
      <c r="G40" s="319"/>
      <c r="H40" s="319"/>
      <c r="I40" s="319"/>
      <c r="J40" s="319"/>
      <c r="K40" s="319"/>
      <c r="M40" s="368"/>
    </row>
    <row r="41" spans="1:17">
      <c r="F41" s="319"/>
      <c r="G41" s="319"/>
      <c r="H41" s="319"/>
      <c r="I41" s="319"/>
      <c r="J41" s="344">
        <f>SUM(J34:J40)</f>
        <v>853572040</v>
      </c>
      <c r="K41" s="454"/>
      <c r="L41" s="344">
        <f>SUM(L34:L40)</f>
        <v>0</v>
      </c>
      <c r="M41" s="344">
        <f>SUM(M34:M40)</f>
        <v>853572040</v>
      </c>
      <c r="O41" s="343"/>
    </row>
    <row r="42" spans="1:17">
      <c r="F42" s="319"/>
      <c r="G42" s="319"/>
      <c r="H42" s="319"/>
      <c r="I42" s="319"/>
      <c r="J42" s="319"/>
      <c r="K42" s="319"/>
      <c r="O42" s="368"/>
    </row>
    <row r="43" spans="1:17" ht="12.75" thickBot="1">
      <c r="F43" s="319"/>
      <c r="G43" s="319"/>
      <c r="H43" s="319"/>
      <c r="I43" s="319"/>
      <c r="J43" s="319"/>
      <c r="K43" s="319"/>
    </row>
    <row r="44" spans="1:17">
      <c r="A44" s="300" t="s">
        <v>102</v>
      </c>
      <c r="F44" s="319"/>
      <c r="G44" s="334"/>
      <c r="H44" s="264"/>
      <c r="I44" s="319"/>
      <c r="J44" s="319"/>
      <c r="K44" s="319"/>
    </row>
    <row r="45" spans="1:17" s="14" customFormat="1">
      <c r="A45" s="45">
        <v>4633</v>
      </c>
      <c r="B45" s="45" t="s">
        <v>80</v>
      </c>
      <c r="C45" s="250" t="s">
        <v>320</v>
      </c>
      <c r="D45" s="250" t="s">
        <v>428</v>
      </c>
      <c r="E45" s="250" t="s">
        <v>84</v>
      </c>
      <c r="F45" s="335">
        <v>35000000</v>
      </c>
      <c r="G45" s="335">
        <v>35000000</v>
      </c>
      <c r="H45" s="3">
        <v>42557</v>
      </c>
      <c r="I45" s="264">
        <f t="shared" ref="I45:I52" si="9">H45+35</f>
        <v>42592</v>
      </c>
      <c r="J45" s="335">
        <v>35000000</v>
      </c>
      <c r="K45" s="264">
        <f t="shared" ref="K45:K52" si="10">H45+180</f>
        <v>42737</v>
      </c>
      <c r="L45" s="28"/>
      <c r="M45" s="97">
        <f>J45-L45</f>
        <v>35000000</v>
      </c>
      <c r="N45" s="12"/>
      <c r="O45" s="207"/>
    </row>
    <row r="46" spans="1:17" s="14" customFormat="1">
      <c r="A46" s="45">
        <v>4634</v>
      </c>
      <c r="B46" s="45" t="s">
        <v>80</v>
      </c>
      <c r="C46" s="1" t="s">
        <v>454</v>
      </c>
      <c r="D46" s="364" t="s">
        <v>455</v>
      </c>
      <c r="E46" s="1" t="s">
        <v>103</v>
      </c>
      <c r="F46" s="335">
        <v>20000000</v>
      </c>
      <c r="G46" s="335">
        <v>20000000</v>
      </c>
      <c r="H46" s="3">
        <v>42557</v>
      </c>
      <c r="I46" s="264">
        <f t="shared" si="9"/>
        <v>42592</v>
      </c>
      <c r="J46" s="335">
        <v>20000000</v>
      </c>
      <c r="K46" s="264">
        <f t="shared" si="10"/>
        <v>42737</v>
      </c>
      <c r="L46" s="28"/>
      <c r="M46" s="97">
        <f t="shared" ref="M46:M74" si="11">J46-L46</f>
        <v>20000000</v>
      </c>
      <c r="N46" s="12"/>
      <c r="O46" s="207"/>
    </row>
    <row r="47" spans="1:17" s="1" customFormat="1">
      <c r="A47" s="45">
        <v>4635</v>
      </c>
      <c r="B47" s="364" t="s">
        <v>80</v>
      </c>
      <c r="C47" s="45" t="s">
        <v>324</v>
      </c>
      <c r="D47" s="45" t="s">
        <v>414</v>
      </c>
      <c r="E47" s="45" t="s">
        <v>83</v>
      </c>
      <c r="F47" s="456">
        <v>30000000</v>
      </c>
      <c r="G47" s="456">
        <v>30000000</v>
      </c>
      <c r="H47" s="264">
        <v>42563</v>
      </c>
      <c r="I47" s="190">
        <f t="shared" si="9"/>
        <v>42598</v>
      </c>
      <c r="J47" s="456">
        <v>30000000</v>
      </c>
      <c r="K47" s="264">
        <f t="shared" si="10"/>
        <v>42743</v>
      </c>
      <c r="L47" s="359"/>
      <c r="M47" s="97">
        <f t="shared" si="11"/>
        <v>30000000</v>
      </c>
      <c r="N47" s="12"/>
    </row>
    <row r="48" spans="1:17" s="14" customFormat="1">
      <c r="A48" s="45">
        <v>4646</v>
      </c>
      <c r="B48" s="45" t="s">
        <v>80</v>
      </c>
      <c r="C48" s="250" t="s">
        <v>184</v>
      </c>
      <c r="D48" s="45" t="s">
        <v>544</v>
      </c>
      <c r="E48" s="45" t="s">
        <v>418</v>
      </c>
      <c r="F48" s="263">
        <v>3300000</v>
      </c>
      <c r="G48" s="263">
        <v>3300000</v>
      </c>
      <c r="H48" s="3">
        <v>42598</v>
      </c>
      <c r="I48" s="264">
        <f t="shared" si="9"/>
        <v>42633</v>
      </c>
      <c r="J48" s="263">
        <v>3300000</v>
      </c>
      <c r="K48" s="264">
        <f t="shared" si="10"/>
        <v>42778</v>
      </c>
      <c r="L48" s="81"/>
      <c r="M48" s="97">
        <f t="shared" si="11"/>
        <v>3300000</v>
      </c>
      <c r="N48" s="133"/>
      <c r="Q48" s="57"/>
    </row>
    <row r="49" spans="1:17" s="14" customFormat="1">
      <c r="A49" s="45">
        <v>4647</v>
      </c>
      <c r="B49" s="45" t="s">
        <v>80</v>
      </c>
      <c r="C49" s="250" t="s">
        <v>184</v>
      </c>
      <c r="D49" s="250" t="s">
        <v>545</v>
      </c>
      <c r="E49" s="224" t="s">
        <v>416</v>
      </c>
      <c r="F49" s="263">
        <v>2200000</v>
      </c>
      <c r="G49" s="263">
        <v>2200000</v>
      </c>
      <c r="H49" s="3">
        <v>42598</v>
      </c>
      <c r="I49" s="264">
        <f t="shared" si="9"/>
        <v>42633</v>
      </c>
      <c r="J49" s="263">
        <v>2200000</v>
      </c>
      <c r="K49" s="264">
        <f t="shared" si="10"/>
        <v>42778</v>
      </c>
      <c r="L49" s="81"/>
      <c r="M49" s="97">
        <f t="shared" si="11"/>
        <v>2200000</v>
      </c>
      <c r="N49" s="12"/>
      <c r="Q49" s="57"/>
    </row>
    <row r="50" spans="1:17" s="14" customFormat="1">
      <c r="A50" s="45">
        <v>4648</v>
      </c>
      <c r="B50" s="45" t="s">
        <v>80</v>
      </c>
      <c r="C50" s="250" t="s">
        <v>184</v>
      </c>
      <c r="D50" s="45" t="s">
        <v>541</v>
      </c>
      <c r="E50" s="45" t="s">
        <v>83</v>
      </c>
      <c r="F50" s="263">
        <v>16500000</v>
      </c>
      <c r="G50" s="263">
        <v>16500000</v>
      </c>
      <c r="H50" s="3">
        <v>42598</v>
      </c>
      <c r="I50" s="264">
        <f t="shared" si="9"/>
        <v>42633</v>
      </c>
      <c r="J50" s="263">
        <v>16500000</v>
      </c>
      <c r="K50" s="264">
        <f t="shared" si="10"/>
        <v>42778</v>
      </c>
      <c r="L50" s="81"/>
      <c r="M50" s="97">
        <f t="shared" si="11"/>
        <v>16500000</v>
      </c>
      <c r="N50" s="12"/>
      <c r="Q50" s="57"/>
    </row>
    <row r="51" spans="1:17" s="14" customFormat="1">
      <c r="A51" s="45">
        <v>4649</v>
      </c>
      <c r="B51" s="45" t="s">
        <v>80</v>
      </c>
      <c r="C51" s="250" t="s">
        <v>184</v>
      </c>
      <c r="D51" s="45" t="s">
        <v>542</v>
      </c>
      <c r="E51" s="45" t="s">
        <v>272</v>
      </c>
      <c r="F51" s="263">
        <v>16500000</v>
      </c>
      <c r="G51" s="263">
        <v>16500000</v>
      </c>
      <c r="H51" s="3">
        <v>42598</v>
      </c>
      <c r="I51" s="264">
        <f t="shared" si="9"/>
        <v>42633</v>
      </c>
      <c r="J51" s="263">
        <v>16500000</v>
      </c>
      <c r="K51" s="264">
        <f t="shared" si="10"/>
        <v>42778</v>
      </c>
      <c r="L51" s="81"/>
      <c r="M51" s="97">
        <f t="shared" si="11"/>
        <v>16500000</v>
      </c>
      <c r="N51" s="12"/>
      <c r="Q51" s="57"/>
    </row>
    <row r="52" spans="1:17" s="14" customFormat="1">
      <c r="A52" s="45">
        <v>4650</v>
      </c>
      <c r="B52" s="45" t="s">
        <v>80</v>
      </c>
      <c r="C52" s="45" t="s">
        <v>509</v>
      </c>
      <c r="D52" s="45" t="s">
        <v>510</v>
      </c>
      <c r="E52" s="45" t="s">
        <v>511</v>
      </c>
      <c r="F52" s="335">
        <v>51757648</v>
      </c>
      <c r="G52" s="335">
        <v>51757648</v>
      </c>
      <c r="H52" s="3">
        <v>42598</v>
      </c>
      <c r="I52" s="3">
        <f t="shared" si="9"/>
        <v>42633</v>
      </c>
      <c r="J52" s="552">
        <v>51757648</v>
      </c>
      <c r="K52" s="3">
        <f t="shared" si="10"/>
        <v>42778</v>
      </c>
      <c r="L52" s="28"/>
      <c r="M52" s="97">
        <f t="shared" si="11"/>
        <v>51757648</v>
      </c>
      <c r="N52" s="12"/>
      <c r="O52" s="207"/>
    </row>
    <row r="53" spans="1:17" s="1" customFormat="1">
      <c r="A53" s="45">
        <v>4651</v>
      </c>
      <c r="B53" s="45" t="s">
        <v>80</v>
      </c>
      <c r="C53" s="250" t="s">
        <v>260</v>
      </c>
      <c r="D53" s="45" t="s">
        <v>424</v>
      </c>
      <c r="E53" s="45" t="s">
        <v>83</v>
      </c>
      <c r="F53" s="371">
        <v>50000000</v>
      </c>
      <c r="G53" s="371">
        <v>50000000</v>
      </c>
      <c r="H53" s="3">
        <v>42599</v>
      </c>
      <c r="I53" s="3">
        <f>H53+35</f>
        <v>42634</v>
      </c>
      <c r="J53" s="371">
        <v>50000000</v>
      </c>
      <c r="K53" s="3">
        <f>H53+180</f>
        <v>42779</v>
      </c>
      <c r="M53" s="97">
        <f t="shared" si="11"/>
        <v>50000000</v>
      </c>
      <c r="O53" s="3"/>
    </row>
    <row r="54" spans="1:17" s="1" customFormat="1">
      <c r="A54" s="45">
        <v>4652</v>
      </c>
      <c r="B54" s="45" t="s">
        <v>80</v>
      </c>
      <c r="C54" s="250" t="s">
        <v>315</v>
      </c>
      <c r="D54" s="45" t="s">
        <v>433</v>
      </c>
      <c r="E54" s="45" t="s">
        <v>317</v>
      </c>
      <c r="F54" s="513">
        <v>35000000</v>
      </c>
      <c r="G54" s="513">
        <v>35000000</v>
      </c>
      <c r="H54" s="3">
        <v>42599</v>
      </c>
      <c r="I54" s="3">
        <f t="shared" ref="I54" si="12">H54+35</f>
        <v>42634</v>
      </c>
      <c r="J54" s="513">
        <v>35000000</v>
      </c>
      <c r="K54" s="3">
        <f t="shared" ref="K54" si="13">H54+180</f>
        <v>42779</v>
      </c>
      <c r="L54" s="82"/>
      <c r="M54" s="97">
        <f t="shared" si="11"/>
        <v>35000000</v>
      </c>
    </row>
    <row r="55" spans="1:17" s="1" customFormat="1">
      <c r="A55" s="45">
        <v>4654</v>
      </c>
      <c r="B55" s="45" t="s">
        <v>80</v>
      </c>
      <c r="C55" s="496" t="s">
        <v>444</v>
      </c>
      <c r="D55" s="45" t="s">
        <v>445</v>
      </c>
      <c r="E55" s="45" t="s">
        <v>446</v>
      </c>
      <c r="F55" s="456">
        <v>25000000</v>
      </c>
      <c r="G55" s="371">
        <v>25000000</v>
      </c>
      <c r="H55" s="3">
        <v>42599</v>
      </c>
      <c r="I55" s="264">
        <f t="shared" ref="I55:I60" si="14">H55+35</f>
        <v>42634</v>
      </c>
      <c r="J55" s="371">
        <v>25000000</v>
      </c>
      <c r="K55" s="264">
        <f t="shared" ref="K55:K60" si="15">H55+180</f>
        <v>42779</v>
      </c>
      <c r="M55" s="97">
        <f t="shared" si="11"/>
        <v>25000000</v>
      </c>
    </row>
    <row r="56" spans="1:17" s="1" customFormat="1">
      <c r="A56" s="45">
        <v>4657</v>
      </c>
      <c r="B56" s="45" t="s">
        <v>80</v>
      </c>
      <c r="C56" s="45" t="s">
        <v>457</v>
      </c>
      <c r="D56" s="45" t="s">
        <v>458</v>
      </c>
      <c r="E56" s="45" t="s">
        <v>82</v>
      </c>
      <c r="F56" s="456">
        <v>50000000</v>
      </c>
      <c r="G56" s="371">
        <v>50000000</v>
      </c>
      <c r="H56" s="3">
        <v>42599</v>
      </c>
      <c r="I56" s="3">
        <f t="shared" ref="I56" si="16">H56+35</f>
        <v>42634</v>
      </c>
      <c r="J56" s="371">
        <v>50000000</v>
      </c>
      <c r="K56" s="3">
        <f t="shared" ref="K56" si="17">H56+180</f>
        <v>42779</v>
      </c>
      <c r="M56" s="97">
        <f t="shared" si="11"/>
        <v>50000000</v>
      </c>
    </row>
    <row r="57" spans="1:17" s="1" customFormat="1">
      <c r="A57" s="45">
        <v>4659</v>
      </c>
      <c r="B57" s="45" t="s">
        <v>80</v>
      </c>
      <c r="C57" s="45" t="s">
        <v>260</v>
      </c>
      <c r="D57" s="45" t="s">
        <v>462</v>
      </c>
      <c r="E57" s="45" t="s">
        <v>83</v>
      </c>
      <c r="F57" s="371">
        <v>10000000</v>
      </c>
      <c r="G57" s="371">
        <v>10000000</v>
      </c>
      <c r="H57" s="3">
        <v>42599</v>
      </c>
      <c r="I57" s="3">
        <f t="shared" ref="I57" si="18">H57+35</f>
        <v>42634</v>
      </c>
      <c r="J57" s="371">
        <v>10000000</v>
      </c>
      <c r="K57" s="3">
        <f t="shared" ref="K57" si="19">H57+180</f>
        <v>42779</v>
      </c>
      <c r="M57" s="97">
        <f t="shared" si="11"/>
        <v>10000000</v>
      </c>
    </row>
    <row r="58" spans="1:17" s="1" customFormat="1">
      <c r="A58" s="45">
        <v>4662</v>
      </c>
      <c r="B58" s="45" t="s">
        <v>80</v>
      </c>
      <c r="C58" s="45" t="s">
        <v>79</v>
      </c>
      <c r="D58" s="45" t="s">
        <v>469</v>
      </c>
      <c r="E58" s="45" t="s">
        <v>82</v>
      </c>
      <c r="F58" s="513">
        <v>45000000</v>
      </c>
      <c r="G58" s="335">
        <v>45000000</v>
      </c>
      <c r="H58" s="3">
        <v>42609</v>
      </c>
      <c r="I58" s="3">
        <f t="shared" ref="I58" si="20">H58+35</f>
        <v>42644</v>
      </c>
      <c r="J58" s="335">
        <v>45000000</v>
      </c>
      <c r="K58" s="3">
        <f t="shared" ref="K58" si="21">H58+180</f>
        <v>42789</v>
      </c>
      <c r="M58" s="97">
        <f t="shared" si="11"/>
        <v>45000000</v>
      </c>
    </row>
    <row r="59" spans="1:17" s="1" customFormat="1">
      <c r="A59" s="45">
        <v>4664</v>
      </c>
      <c r="B59" s="45" t="s">
        <v>80</v>
      </c>
      <c r="C59" s="45" t="s">
        <v>391</v>
      </c>
      <c r="D59" s="45" t="s">
        <v>483</v>
      </c>
      <c r="E59" s="45" t="s">
        <v>393</v>
      </c>
      <c r="F59" s="456">
        <v>30000000</v>
      </c>
      <c r="G59" s="456">
        <v>30000000</v>
      </c>
      <c r="H59" s="3">
        <v>42613</v>
      </c>
      <c r="I59" s="3">
        <f t="shared" ref="I59" si="22">H59+35</f>
        <v>42648</v>
      </c>
      <c r="J59" s="456">
        <v>30000000</v>
      </c>
      <c r="K59" s="3">
        <f t="shared" ref="K59" si="23">H59+180</f>
        <v>42793</v>
      </c>
      <c r="M59" s="97">
        <f t="shared" si="11"/>
        <v>30000000</v>
      </c>
    </row>
    <row r="60" spans="1:17" s="1" customFormat="1">
      <c r="A60" s="45">
        <v>4665</v>
      </c>
      <c r="B60" s="45" t="s">
        <v>80</v>
      </c>
      <c r="C60" s="45" t="s">
        <v>292</v>
      </c>
      <c r="D60" s="45" t="s">
        <v>332</v>
      </c>
      <c r="E60" s="45" t="s">
        <v>159</v>
      </c>
      <c r="F60" s="456">
        <v>30000000</v>
      </c>
      <c r="G60" s="456">
        <v>30000000</v>
      </c>
      <c r="H60" s="3">
        <v>42616</v>
      </c>
      <c r="I60" s="3">
        <f t="shared" si="14"/>
        <v>42651</v>
      </c>
      <c r="J60" s="456">
        <v>30000000</v>
      </c>
      <c r="K60" s="3">
        <f t="shared" si="15"/>
        <v>42796</v>
      </c>
      <c r="L60" s="518"/>
      <c r="M60" s="97">
        <f t="shared" si="11"/>
        <v>30000000</v>
      </c>
    </row>
    <row r="61" spans="1:17" s="1" customFormat="1">
      <c r="A61" s="45">
        <v>4666</v>
      </c>
      <c r="B61" s="45" t="s">
        <v>80</v>
      </c>
      <c r="C61" s="45" t="s">
        <v>79</v>
      </c>
      <c r="D61" s="45" t="s">
        <v>491</v>
      </c>
      <c r="E61" s="45" t="s">
        <v>82</v>
      </c>
      <c r="F61" s="513">
        <v>35000000</v>
      </c>
      <c r="G61" s="335">
        <v>35000000</v>
      </c>
      <c r="H61" s="3">
        <v>42628</v>
      </c>
      <c r="I61" s="3">
        <f t="shared" ref="I61" si="24">H61+35</f>
        <v>42663</v>
      </c>
      <c r="J61" s="335">
        <v>35000000</v>
      </c>
      <c r="K61" s="3">
        <f t="shared" ref="K61" si="25">H61+180</f>
        <v>42808</v>
      </c>
      <c r="M61" s="97">
        <f t="shared" si="11"/>
        <v>35000000</v>
      </c>
      <c r="N61" s="3"/>
    </row>
    <row r="62" spans="1:17" s="1" customFormat="1">
      <c r="A62" s="45">
        <v>4667</v>
      </c>
      <c r="B62" s="45" t="s">
        <v>80</v>
      </c>
      <c r="C62" s="45" t="s">
        <v>79</v>
      </c>
      <c r="D62" s="45" t="s">
        <v>493</v>
      </c>
      <c r="E62" s="45" t="s">
        <v>85</v>
      </c>
      <c r="F62" s="513">
        <v>35000000</v>
      </c>
      <c r="G62" s="335">
        <v>35000000</v>
      </c>
      <c r="H62" s="3">
        <v>42628</v>
      </c>
      <c r="I62" s="3">
        <f t="shared" ref="I62" si="26">H62+35</f>
        <v>42663</v>
      </c>
      <c r="J62" s="335">
        <v>35000000</v>
      </c>
      <c r="K62" s="3">
        <f t="shared" ref="K62" si="27">H62+180</f>
        <v>42808</v>
      </c>
      <c r="M62" s="97">
        <f t="shared" si="11"/>
        <v>35000000</v>
      </c>
    </row>
    <row r="63" spans="1:17" s="14" customFormat="1">
      <c r="A63" s="45">
        <v>4669</v>
      </c>
      <c r="B63" s="45" t="s">
        <v>80</v>
      </c>
      <c r="C63" s="45" t="s">
        <v>497</v>
      </c>
      <c r="D63" s="45" t="s">
        <v>498</v>
      </c>
      <c r="E63" s="45" t="s">
        <v>85</v>
      </c>
      <c r="F63" s="335">
        <v>35000000</v>
      </c>
      <c r="G63" s="335">
        <v>35000000</v>
      </c>
      <c r="H63" s="3">
        <v>42628</v>
      </c>
      <c r="I63" s="3">
        <f t="shared" ref="I63" si="28">H63+35</f>
        <v>42663</v>
      </c>
      <c r="J63" s="335">
        <v>35000000</v>
      </c>
      <c r="K63" s="3">
        <f t="shared" ref="K63" si="29">H63+180</f>
        <v>42808</v>
      </c>
      <c r="M63" s="97">
        <f t="shared" si="11"/>
        <v>35000000</v>
      </c>
      <c r="N63" s="12"/>
    </row>
    <row r="64" spans="1:17" s="14" customFormat="1">
      <c r="A64" s="45">
        <v>4670</v>
      </c>
      <c r="B64" s="45" t="s">
        <v>80</v>
      </c>
      <c r="C64" s="45" t="s">
        <v>79</v>
      </c>
      <c r="D64" s="45" t="s">
        <v>504</v>
      </c>
      <c r="E64" s="45" t="s">
        <v>238</v>
      </c>
      <c r="F64" s="513">
        <v>14000000</v>
      </c>
      <c r="G64" s="335">
        <v>14000000</v>
      </c>
      <c r="H64" s="3">
        <v>42628</v>
      </c>
      <c r="I64" s="3">
        <f t="shared" ref="I64" si="30">H64+35</f>
        <v>42663</v>
      </c>
      <c r="J64" s="335">
        <v>14000000</v>
      </c>
      <c r="K64" s="3">
        <f t="shared" ref="K64" si="31">H64+180</f>
        <v>42808</v>
      </c>
      <c r="M64" s="97">
        <f t="shared" si="11"/>
        <v>14000000</v>
      </c>
      <c r="N64" s="12"/>
    </row>
    <row r="65" spans="1:18" s="14" customFormat="1">
      <c r="A65" s="45">
        <v>4672</v>
      </c>
      <c r="B65" s="45" t="s">
        <v>80</v>
      </c>
      <c r="C65" s="45" t="s">
        <v>290</v>
      </c>
      <c r="D65" s="45" t="s">
        <v>518</v>
      </c>
      <c r="E65" s="45" t="s">
        <v>83</v>
      </c>
      <c r="F65" s="371">
        <v>22000000</v>
      </c>
      <c r="G65" s="371">
        <v>22000000</v>
      </c>
      <c r="H65" s="548">
        <v>42658</v>
      </c>
      <c r="I65" s="264">
        <f t="shared" ref="I65:I74" si="32">H65+35</f>
        <v>42693</v>
      </c>
      <c r="J65" s="371">
        <v>22000000</v>
      </c>
      <c r="K65" s="264">
        <f t="shared" ref="K65:K74" si="33">H65+180</f>
        <v>42838</v>
      </c>
      <c r="M65" s="97">
        <f t="shared" si="11"/>
        <v>22000000</v>
      </c>
      <c r="N65" s="12"/>
    </row>
    <row r="66" spans="1:18" s="14" customFormat="1">
      <c r="A66" s="45">
        <v>4673</v>
      </c>
      <c r="B66" s="45" t="s">
        <v>80</v>
      </c>
      <c r="C66" s="45" t="s">
        <v>520</v>
      </c>
      <c r="D66" s="45" t="s">
        <v>521</v>
      </c>
      <c r="E66" s="45" t="s">
        <v>522</v>
      </c>
      <c r="F66" s="335">
        <v>14000000</v>
      </c>
      <c r="G66" s="335">
        <v>14000000</v>
      </c>
      <c r="H66" s="534">
        <v>42658</v>
      </c>
      <c r="I66" s="264">
        <f t="shared" ref="I66" si="34">H66+35</f>
        <v>42693</v>
      </c>
      <c r="J66" s="335">
        <v>14000000</v>
      </c>
      <c r="K66" s="264">
        <f t="shared" ref="K66" si="35">H66+180</f>
        <v>42838</v>
      </c>
      <c r="M66" s="97">
        <f t="shared" si="11"/>
        <v>14000000</v>
      </c>
      <c r="N66" s="12"/>
    </row>
    <row r="67" spans="1:18" s="14" customFormat="1">
      <c r="A67" s="45">
        <v>4674</v>
      </c>
      <c r="B67" s="45" t="s">
        <v>80</v>
      </c>
      <c r="C67" s="45" t="s">
        <v>79</v>
      </c>
      <c r="D67" s="45" t="s">
        <v>526</v>
      </c>
      <c r="E67" s="45" t="s">
        <v>180</v>
      </c>
      <c r="F67" s="547">
        <v>18000000</v>
      </c>
      <c r="G67" s="546">
        <v>18000000</v>
      </c>
      <c r="H67" s="549">
        <v>42658</v>
      </c>
      <c r="I67" s="264">
        <f t="shared" ref="I67:I68" si="36">H67+35</f>
        <v>42693</v>
      </c>
      <c r="J67" s="546">
        <v>18000000</v>
      </c>
      <c r="K67" s="264">
        <f t="shared" ref="K67:K68" si="37">H67+180</f>
        <v>42838</v>
      </c>
      <c r="M67" s="97">
        <f t="shared" si="11"/>
        <v>18000000</v>
      </c>
      <c r="N67" s="12"/>
    </row>
    <row r="68" spans="1:18" s="14" customFormat="1">
      <c r="A68" s="45">
        <v>4675</v>
      </c>
      <c r="B68" s="45" t="s">
        <v>80</v>
      </c>
      <c r="C68" s="45" t="s">
        <v>79</v>
      </c>
      <c r="D68" s="45" t="s">
        <v>527</v>
      </c>
      <c r="E68" s="45" t="s">
        <v>82</v>
      </c>
      <c r="F68" s="547">
        <v>25000000</v>
      </c>
      <c r="G68" s="546">
        <v>25000000</v>
      </c>
      <c r="H68" s="549">
        <v>42658</v>
      </c>
      <c r="I68" s="264">
        <f t="shared" si="36"/>
        <v>42693</v>
      </c>
      <c r="J68" s="546">
        <v>25000000</v>
      </c>
      <c r="K68" s="264">
        <f t="shared" si="37"/>
        <v>42838</v>
      </c>
      <c r="L68" s="537"/>
      <c r="M68" s="97">
        <f t="shared" si="11"/>
        <v>25000000</v>
      </c>
      <c r="N68" s="12"/>
    </row>
    <row r="69" spans="1:18" s="14" customFormat="1">
      <c r="A69" s="45">
        <v>4676</v>
      </c>
      <c r="B69" s="45" t="s">
        <v>80</v>
      </c>
      <c r="C69" s="45" t="s">
        <v>79</v>
      </c>
      <c r="D69" s="45" t="s">
        <v>566</v>
      </c>
      <c r="E69" s="45" t="s">
        <v>83</v>
      </c>
      <c r="F69" s="335">
        <v>20000000</v>
      </c>
      <c r="G69" s="335">
        <v>20000000</v>
      </c>
      <c r="H69" s="533">
        <v>42658</v>
      </c>
      <c r="I69" s="264">
        <f t="shared" ref="I69" si="38">H69+35</f>
        <v>42693</v>
      </c>
      <c r="J69" s="335">
        <v>20000000</v>
      </c>
      <c r="K69" s="264">
        <f t="shared" ref="K69" si="39">H69+180</f>
        <v>42838</v>
      </c>
      <c r="M69" s="97">
        <f t="shared" si="11"/>
        <v>20000000</v>
      </c>
      <c r="N69" s="12"/>
      <c r="O69" s="207"/>
    </row>
    <row r="70" spans="1:18" s="14" customFormat="1">
      <c r="A70" s="45">
        <v>4678</v>
      </c>
      <c r="B70" s="45" t="s">
        <v>80</v>
      </c>
      <c r="C70" s="45" t="s">
        <v>224</v>
      </c>
      <c r="D70" s="45" t="s">
        <v>404</v>
      </c>
      <c r="E70" s="45" t="s">
        <v>85</v>
      </c>
      <c r="F70" s="335">
        <v>20000000</v>
      </c>
      <c r="G70" s="335">
        <v>20000000</v>
      </c>
      <c r="H70" s="533">
        <v>42658</v>
      </c>
      <c r="I70" s="264">
        <f t="shared" ref="I70" si="40">H70+35</f>
        <v>42693</v>
      </c>
      <c r="J70" s="335">
        <v>20000000</v>
      </c>
      <c r="K70" s="264">
        <f t="shared" ref="K70" si="41">H70+180</f>
        <v>42838</v>
      </c>
      <c r="M70" s="97">
        <f t="shared" si="11"/>
        <v>20000000</v>
      </c>
      <c r="N70" s="12"/>
      <c r="O70" s="207"/>
    </row>
    <row r="71" spans="1:18" s="14" customFormat="1">
      <c r="A71" s="45">
        <v>4681</v>
      </c>
      <c r="B71" s="45" t="s">
        <v>80</v>
      </c>
      <c r="C71" s="250" t="s">
        <v>184</v>
      </c>
      <c r="D71" s="45" t="s">
        <v>547</v>
      </c>
      <c r="E71" s="45" t="s">
        <v>511</v>
      </c>
      <c r="F71" s="456">
        <v>37500000</v>
      </c>
      <c r="G71" s="371">
        <v>37500000</v>
      </c>
      <c r="H71" s="550">
        <v>42662</v>
      </c>
      <c r="I71" s="264">
        <f t="shared" si="32"/>
        <v>42697</v>
      </c>
      <c r="J71" s="371">
        <v>37500000</v>
      </c>
      <c r="K71" s="264">
        <f t="shared" si="33"/>
        <v>42842</v>
      </c>
      <c r="L71" s="517"/>
      <c r="M71" s="97">
        <f t="shared" si="11"/>
        <v>37500000</v>
      </c>
      <c r="N71" s="12"/>
      <c r="Q71" s="57"/>
    </row>
    <row r="72" spans="1:18" s="45" customFormat="1">
      <c r="A72" s="45">
        <v>4682</v>
      </c>
      <c r="B72" s="45" t="s">
        <v>80</v>
      </c>
      <c r="C72" s="250" t="s">
        <v>550</v>
      </c>
      <c r="D72" s="45" t="s">
        <v>549</v>
      </c>
      <c r="E72" s="45" t="s">
        <v>85</v>
      </c>
      <c r="F72" s="456">
        <v>50000000</v>
      </c>
      <c r="G72" s="456">
        <v>50000000</v>
      </c>
      <c r="H72" s="534">
        <v>42664</v>
      </c>
      <c r="I72" s="264">
        <f t="shared" ref="I72" si="42">H72+35</f>
        <v>42699</v>
      </c>
      <c r="J72" s="456">
        <v>50000000</v>
      </c>
      <c r="K72" s="534">
        <f t="shared" ref="K72" si="43">H72+180</f>
        <v>42844</v>
      </c>
      <c r="M72" s="97">
        <f t="shared" si="11"/>
        <v>50000000</v>
      </c>
      <c r="N72" s="124"/>
    </row>
    <row r="73" spans="1:18" s="45" customFormat="1">
      <c r="A73" s="45">
        <v>4684</v>
      </c>
      <c r="B73" s="45" t="s">
        <v>80</v>
      </c>
      <c r="C73" s="250" t="s">
        <v>281</v>
      </c>
      <c r="D73" s="45" t="s">
        <v>555</v>
      </c>
      <c r="E73" s="45" t="s">
        <v>85</v>
      </c>
      <c r="F73" s="513">
        <v>38000000</v>
      </c>
      <c r="G73" s="335">
        <v>38000000</v>
      </c>
      <c r="H73" s="534">
        <v>42672</v>
      </c>
      <c r="I73" s="264">
        <f t="shared" ref="I73" si="44">H73+35</f>
        <v>42707</v>
      </c>
      <c r="J73" s="335">
        <v>38000000</v>
      </c>
      <c r="K73" s="534">
        <f t="shared" ref="K73" si="45">H73+180</f>
        <v>42852</v>
      </c>
      <c r="M73" s="97">
        <f t="shared" si="11"/>
        <v>38000000</v>
      </c>
      <c r="N73" s="124"/>
      <c r="P73" s="124"/>
      <c r="R73" s="124"/>
    </row>
    <row r="74" spans="1:18" s="45" customFormat="1">
      <c r="A74" s="45">
        <v>4685</v>
      </c>
      <c r="B74" s="45" t="s">
        <v>80</v>
      </c>
      <c r="C74" s="250" t="s">
        <v>281</v>
      </c>
      <c r="D74" s="45" t="s">
        <v>557</v>
      </c>
      <c r="E74" s="45" t="s">
        <v>85</v>
      </c>
      <c r="F74" s="513">
        <v>38000000</v>
      </c>
      <c r="G74" s="335">
        <v>38000000</v>
      </c>
      <c r="H74" s="534">
        <v>42676</v>
      </c>
      <c r="I74" s="264">
        <f t="shared" si="32"/>
        <v>42711</v>
      </c>
      <c r="J74" s="335">
        <v>38000000</v>
      </c>
      <c r="K74" s="534">
        <f t="shared" si="33"/>
        <v>42856</v>
      </c>
      <c r="L74" s="82"/>
      <c r="M74" s="97">
        <f t="shared" si="11"/>
        <v>38000000</v>
      </c>
      <c r="N74" s="124"/>
      <c r="O74" s="124"/>
      <c r="P74" s="124"/>
    </row>
    <row r="75" spans="1:18" s="1" customFormat="1">
      <c r="A75" s="14"/>
      <c r="B75" s="45"/>
      <c r="C75" s="250"/>
      <c r="D75" s="250"/>
      <c r="E75" s="250"/>
      <c r="F75" s="91"/>
      <c r="G75" s="91"/>
      <c r="H75" s="3"/>
      <c r="I75" s="3"/>
      <c r="J75" s="10"/>
      <c r="K75" s="3"/>
      <c r="L75" s="304"/>
      <c r="M75" s="385"/>
    </row>
    <row r="76" spans="1:18" s="1" customFormat="1">
      <c r="A76" s="14"/>
      <c r="B76" s="45"/>
      <c r="C76" s="250"/>
      <c r="D76" s="250"/>
      <c r="E76" s="250"/>
      <c r="F76" s="91"/>
      <c r="G76" s="91"/>
      <c r="H76" s="3"/>
      <c r="I76" s="3"/>
      <c r="J76" s="98">
        <f>SUM(J45:J75)</f>
        <v>851757648</v>
      </c>
      <c r="K76" s="8"/>
      <c r="L76" s="98">
        <f>SUM(L45:L75)</f>
        <v>0</v>
      </c>
      <c r="M76" s="98">
        <f>SUM(M45:M75)</f>
        <v>851757648</v>
      </c>
    </row>
    <row r="77" spans="1:18">
      <c r="F77" s="319"/>
      <c r="G77" s="319"/>
      <c r="H77" s="319"/>
      <c r="I77" s="319"/>
      <c r="J77" s="319"/>
      <c r="K77" s="319"/>
    </row>
    <row r="78" spans="1:18">
      <c r="A78" s="353" t="s">
        <v>62</v>
      </c>
      <c r="F78" s="319"/>
      <c r="G78" s="334"/>
      <c r="H78" s="264"/>
      <c r="I78" s="319"/>
      <c r="J78" s="319"/>
      <c r="K78" s="319"/>
    </row>
    <row r="79" spans="1:18" s="45" customFormat="1">
      <c r="A79" s="45">
        <v>4686</v>
      </c>
      <c r="B79" s="45" t="s">
        <v>80</v>
      </c>
      <c r="C79" s="250" t="s">
        <v>273</v>
      </c>
      <c r="D79" s="45" t="s">
        <v>559</v>
      </c>
      <c r="E79" s="45" t="s">
        <v>192</v>
      </c>
      <c r="F79" s="521">
        <v>100000000</v>
      </c>
      <c r="G79" s="252">
        <v>43375000</v>
      </c>
      <c r="H79" s="534">
        <v>42686</v>
      </c>
      <c r="I79" s="264">
        <f t="shared" ref="I79" si="46">H79+35</f>
        <v>42721</v>
      </c>
      <c r="J79" s="252">
        <v>43375000</v>
      </c>
      <c r="K79" s="534">
        <f>H79+210</f>
        <v>42896</v>
      </c>
      <c r="L79" s="252"/>
      <c r="M79" s="97">
        <f t="shared" ref="M79" si="47">J79-L79</f>
        <v>43375000</v>
      </c>
      <c r="N79" s="124"/>
      <c r="O79" s="551"/>
    </row>
    <row r="80" spans="1:18">
      <c r="O80" s="354"/>
    </row>
    <row r="81" spans="9:13">
      <c r="I81" s="354"/>
      <c r="J81" s="98">
        <f>SUM(J79:J80)</f>
        <v>43375000</v>
      </c>
      <c r="K81" s="326"/>
      <c r="L81" s="98">
        <f>SUM(L79:L80)</f>
        <v>0</v>
      </c>
      <c r="M81" s="98">
        <f>SUM(M79:M80)</f>
        <v>43375000</v>
      </c>
    </row>
    <row r="82" spans="9:13">
      <c r="I82" s="354"/>
    </row>
    <row r="87" spans="9:13">
      <c r="L87" s="343">
        <f>M81+M76+M41+F24</f>
        <v>1844727688.3000002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01C91-EE65-4E32-B002-1192F53878F3}">
  <dimension ref="A1:R60"/>
  <sheetViews>
    <sheetView workbookViewId="0">
      <selection activeCell="A47" sqref="A47:XFD47"/>
    </sheetView>
  </sheetViews>
  <sheetFormatPr defaultColWidth="9" defaultRowHeight="12"/>
  <cols>
    <col min="1" max="1" width="9.28515625" style="1" bestFit="1" customWidth="1"/>
    <col min="2" max="2" width="13.28515625" style="1" bestFit="1" customWidth="1"/>
    <col min="3" max="3" width="36.42578125" style="1" bestFit="1" customWidth="1"/>
    <col min="4" max="4" width="42.140625" style="1" customWidth="1"/>
    <col min="5" max="5" width="15.42578125" style="1" bestFit="1" customWidth="1"/>
    <col min="6" max="9" width="14" style="1" bestFit="1" customWidth="1"/>
    <col min="10" max="10" width="13.7109375" style="1" bestFit="1" customWidth="1"/>
    <col min="11" max="11" width="10.85546875" style="1" bestFit="1" customWidth="1"/>
    <col min="12" max="12" width="14.7109375" style="1" bestFit="1" customWidth="1"/>
    <col min="13" max="13" width="10.85546875" style="3" bestFit="1" customWidth="1"/>
    <col min="14" max="14" width="15.28515625" style="1" bestFit="1" customWidth="1"/>
    <col min="15" max="15" width="12.5703125" style="1" bestFit="1" customWidth="1"/>
    <col min="16" max="16" width="10.5703125" style="1" bestFit="1" customWidth="1"/>
    <col min="17" max="16384" width="9" style="1"/>
  </cols>
  <sheetData>
    <row r="1" spans="1:17">
      <c r="A1" s="501">
        <v>41865</v>
      </c>
      <c r="B1" s="502">
        <f>'SC1 MRB'!F26+'SC2 State Voted'!F13+'SC3 Small Issue IDBs'!F15+'SC4 TSAHC'!F23+'SC4 MF- TDHCA'!F33+'SC4 MF- Local Collapse'!F48+'SC5 OTHER'!F80</f>
        <v>982595000.30000007</v>
      </c>
      <c r="C1" s="19"/>
      <c r="D1" s="19"/>
      <c r="E1" s="19"/>
      <c r="F1" s="503"/>
      <c r="G1" s="503"/>
      <c r="H1" s="503"/>
      <c r="I1" s="20"/>
      <c r="J1" s="23"/>
      <c r="K1" s="21"/>
      <c r="L1" s="22"/>
      <c r="M1" s="23"/>
      <c r="N1" s="20"/>
      <c r="O1" s="20"/>
      <c r="P1" s="24"/>
    </row>
    <row r="2" spans="1:17">
      <c r="A2" s="26" t="s">
        <v>532</v>
      </c>
      <c r="B2" s="5"/>
      <c r="C2" s="27"/>
      <c r="D2" s="27"/>
      <c r="E2" s="27"/>
      <c r="F2" s="365"/>
      <c r="G2" s="365"/>
      <c r="H2" s="365"/>
      <c r="I2" s="28"/>
      <c r="J2" s="12"/>
      <c r="K2" s="29"/>
      <c r="L2" s="37"/>
      <c r="M2" s="12"/>
      <c r="N2" s="28"/>
      <c r="O2" s="28"/>
      <c r="P2" s="31"/>
    </row>
    <row r="3" spans="1:17">
      <c r="A3" s="26"/>
      <c r="B3" s="5"/>
      <c r="C3" s="27"/>
      <c r="D3" s="27"/>
      <c r="E3" s="27"/>
      <c r="F3" s="365"/>
      <c r="G3" s="365"/>
      <c r="H3" s="365"/>
      <c r="I3" s="28"/>
      <c r="J3" s="12"/>
      <c r="K3" s="12"/>
      <c r="L3" s="28"/>
      <c r="M3" s="12"/>
      <c r="N3" s="28"/>
      <c r="O3" s="28"/>
      <c r="P3" s="31"/>
    </row>
    <row r="4" spans="1:17">
      <c r="A4" s="32" t="s">
        <v>34</v>
      </c>
      <c r="B4" s="5" t="s">
        <v>39</v>
      </c>
      <c r="C4" s="5"/>
      <c r="D4" s="5"/>
      <c r="E4" s="5"/>
      <c r="F4" s="457" t="s">
        <v>24</v>
      </c>
      <c r="G4" s="175" t="s">
        <v>40</v>
      </c>
      <c r="H4" s="94" t="s">
        <v>53</v>
      </c>
      <c r="I4" s="33" t="s">
        <v>8</v>
      </c>
      <c r="J4" s="7" t="s">
        <v>14</v>
      </c>
      <c r="K4" s="7" t="s">
        <v>36</v>
      </c>
      <c r="L4" s="33" t="s">
        <v>4</v>
      </c>
      <c r="M4" s="7" t="s">
        <v>533</v>
      </c>
      <c r="N4" s="33" t="s">
        <v>28</v>
      </c>
      <c r="O4" s="33" t="s">
        <v>46</v>
      </c>
      <c r="P4" s="31" t="s">
        <v>23</v>
      </c>
    </row>
    <row r="5" spans="1:17">
      <c r="A5" s="32" t="s">
        <v>50</v>
      </c>
      <c r="B5" s="14"/>
      <c r="C5" s="5"/>
      <c r="D5" s="27"/>
      <c r="E5" s="27"/>
      <c r="F5" s="457" t="s">
        <v>44</v>
      </c>
      <c r="G5" s="175" t="s">
        <v>48</v>
      </c>
      <c r="H5" s="94" t="s">
        <v>44</v>
      </c>
      <c r="I5" s="33" t="s">
        <v>44</v>
      </c>
      <c r="J5" s="7" t="s">
        <v>9</v>
      </c>
      <c r="K5" s="7" t="s">
        <v>18</v>
      </c>
      <c r="L5" s="33" t="s">
        <v>44</v>
      </c>
      <c r="M5" s="7" t="s">
        <v>18</v>
      </c>
      <c r="N5" s="33" t="s">
        <v>44</v>
      </c>
      <c r="O5" s="33" t="s">
        <v>44</v>
      </c>
      <c r="P5" s="31" t="s">
        <v>5</v>
      </c>
    </row>
    <row r="6" spans="1:17" ht="12.75" thickBot="1">
      <c r="A6" s="38" t="s">
        <v>17</v>
      </c>
      <c r="B6" s="39"/>
      <c r="C6" s="34" t="s">
        <v>32</v>
      </c>
      <c r="D6" s="40" t="s">
        <v>51</v>
      </c>
      <c r="E6" s="40" t="s">
        <v>47</v>
      </c>
      <c r="F6" s="504"/>
      <c r="G6" s="504"/>
      <c r="H6" s="504"/>
      <c r="I6" s="66"/>
      <c r="J6" s="41"/>
      <c r="K6" s="41"/>
      <c r="L6" s="66"/>
      <c r="M6" s="41"/>
      <c r="N6" s="66"/>
      <c r="O6" s="66"/>
      <c r="P6" s="42" t="s">
        <v>9</v>
      </c>
    </row>
    <row r="7" spans="1:17">
      <c r="A7" s="45">
        <v>4651</v>
      </c>
      <c r="B7" s="45" t="s">
        <v>80</v>
      </c>
      <c r="C7" s="250" t="s">
        <v>260</v>
      </c>
      <c r="D7" s="45" t="s">
        <v>424</v>
      </c>
      <c r="E7" s="45" t="s">
        <v>83</v>
      </c>
      <c r="F7" s="514">
        <v>50000000</v>
      </c>
      <c r="G7" s="1" t="s">
        <v>161</v>
      </c>
      <c r="H7" s="82">
        <v>50000000</v>
      </c>
      <c r="I7" s="82">
        <v>50000000</v>
      </c>
      <c r="J7" s="3">
        <v>42599</v>
      </c>
      <c r="K7" s="3">
        <f>J7+35</f>
        <v>42634</v>
      </c>
      <c r="L7" s="82">
        <v>50000000</v>
      </c>
      <c r="M7" s="3">
        <f>J7+180</f>
        <v>42779</v>
      </c>
      <c r="O7" s="3"/>
    </row>
    <row r="8" spans="1:17">
      <c r="A8" s="45">
        <v>4652</v>
      </c>
      <c r="B8" s="45" t="s">
        <v>80</v>
      </c>
      <c r="C8" s="250" t="s">
        <v>315</v>
      </c>
      <c r="D8" s="45" t="s">
        <v>433</v>
      </c>
      <c r="E8" s="45" t="s">
        <v>317</v>
      </c>
      <c r="F8" s="514">
        <v>35000000</v>
      </c>
      <c r="G8" s="1" t="s">
        <v>161</v>
      </c>
      <c r="H8" s="82">
        <v>35000000</v>
      </c>
      <c r="I8" s="82">
        <v>35000000</v>
      </c>
      <c r="J8" s="3">
        <v>42599</v>
      </c>
      <c r="K8" s="3">
        <f t="shared" ref="K8:K28" si="0">J8+35</f>
        <v>42634</v>
      </c>
      <c r="L8" s="82">
        <v>35000000</v>
      </c>
      <c r="M8" s="3">
        <f t="shared" ref="M8:M42" si="1">J8+180</f>
        <v>42779</v>
      </c>
    </row>
    <row r="9" spans="1:17">
      <c r="A9" s="45">
        <v>4653</v>
      </c>
      <c r="B9" s="45" t="s">
        <v>86</v>
      </c>
      <c r="C9" s="45" t="s">
        <v>292</v>
      </c>
      <c r="D9" s="45" t="s">
        <v>330</v>
      </c>
      <c r="E9" s="45" t="s">
        <v>151</v>
      </c>
      <c r="F9" s="520">
        <v>50000000</v>
      </c>
      <c r="G9" s="1" t="s">
        <v>161</v>
      </c>
      <c r="H9" s="518">
        <v>50000000</v>
      </c>
      <c r="I9" s="518">
        <v>50000000</v>
      </c>
      <c r="J9" s="3">
        <v>42599</v>
      </c>
      <c r="K9" s="3">
        <f t="shared" si="0"/>
        <v>42634</v>
      </c>
      <c r="L9" s="518">
        <v>50000000</v>
      </c>
      <c r="M9" s="3">
        <f t="shared" si="1"/>
        <v>42779</v>
      </c>
      <c r="N9" s="305">
        <v>35797000</v>
      </c>
      <c r="O9" s="97">
        <f>I9-N9</f>
        <v>14203000</v>
      </c>
      <c r="P9" s="3">
        <v>42725</v>
      </c>
    </row>
    <row r="10" spans="1:17">
      <c r="A10" s="45">
        <v>4654</v>
      </c>
      <c r="B10" s="45" t="s">
        <v>80</v>
      </c>
      <c r="C10" s="496" t="s">
        <v>444</v>
      </c>
      <c r="D10" s="45" t="s">
        <v>445</v>
      </c>
      <c r="E10" s="45" t="s">
        <v>446</v>
      </c>
      <c r="F10" s="520">
        <v>25000000</v>
      </c>
      <c r="G10" s="1" t="s">
        <v>161</v>
      </c>
      <c r="H10" s="518">
        <v>25000000</v>
      </c>
      <c r="I10" s="518">
        <v>25000000</v>
      </c>
      <c r="J10" s="3">
        <v>42599</v>
      </c>
      <c r="K10" s="3">
        <f t="shared" si="0"/>
        <v>42634</v>
      </c>
      <c r="L10" s="518">
        <v>25000000</v>
      </c>
      <c r="M10" s="3">
        <f t="shared" si="1"/>
        <v>42779</v>
      </c>
    </row>
    <row r="11" spans="1:17">
      <c r="A11" s="45">
        <v>4655</v>
      </c>
      <c r="B11" s="45" t="s">
        <v>360</v>
      </c>
      <c r="C11" s="45" t="s">
        <v>224</v>
      </c>
      <c r="D11" s="45" t="s">
        <v>449</v>
      </c>
      <c r="E11" s="45" t="s">
        <v>85</v>
      </c>
      <c r="F11" s="520">
        <v>15000000</v>
      </c>
      <c r="G11" s="1" t="s">
        <v>161</v>
      </c>
      <c r="H11" s="518">
        <v>15000000</v>
      </c>
      <c r="I11" s="518">
        <v>15000000</v>
      </c>
      <c r="J11" s="3">
        <v>42599</v>
      </c>
      <c r="K11" s="3">
        <f t="shared" si="0"/>
        <v>42634</v>
      </c>
      <c r="L11" s="518">
        <v>15000000</v>
      </c>
      <c r="M11" s="3">
        <f t="shared" si="1"/>
        <v>42779</v>
      </c>
      <c r="N11" s="97">
        <v>0</v>
      </c>
      <c r="O11" s="97">
        <f>I11-N11</f>
        <v>15000000</v>
      </c>
      <c r="P11" s="3">
        <v>42661</v>
      </c>
    </row>
    <row r="12" spans="1:17">
      <c r="A12" s="45">
        <v>4656</v>
      </c>
      <c r="B12" s="45" t="s">
        <v>360</v>
      </c>
      <c r="C12" s="45" t="s">
        <v>324</v>
      </c>
      <c r="D12" s="45" t="s">
        <v>451</v>
      </c>
      <c r="E12" s="45" t="s">
        <v>83</v>
      </c>
      <c r="F12" s="520">
        <v>20000000</v>
      </c>
      <c r="G12" s="1" t="s">
        <v>161</v>
      </c>
      <c r="H12" s="518">
        <v>20000000</v>
      </c>
      <c r="I12" s="518">
        <v>20000000</v>
      </c>
      <c r="J12" s="3">
        <v>42599</v>
      </c>
      <c r="K12" s="3">
        <f t="shared" si="0"/>
        <v>42634</v>
      </c>
      <c r="L12" s="259">
        <v>16500000</v>
      </c>
      <c r="M12" s="3">
        <f t="shared" si="1"/>
        <v>42779</v>
      </c>
      <c r="N12" s="97">
        <v>0</v>
      </c>
      <c r="O12" s="97">
        <f>I12-N12</f>
        <v>20000000</v>
      </c>
      <c r="P12" s="3">
        <v>42689</v>
      </c>
    </row>
    <row r="13" spans="1:17">
      <c r="A13" s="45">
        <v>4657</v>
      </c>
      <c r="B13" s="45" t="s">
        <v>80</v>
      </c>
      <c r="C13" s="45" t="s">
        <v>457</v>
      </c>
      <c r="D13" s="45" t="s">
        <v>458</v>
      </c>
      <c r="E13" s="45" t="s">
        <v>82</v>
      </c>
      <c r="F13" s="520">
        <v>50000000</v>
      </c>
      <c r="G13" s="1" t="s">
        <v>161</v>
      </c>
      <c r="H13" s="518">
        <v>50000000</v>
      </c>
      <c r="I13" s="518">
        <v>50000000</v>
      </c>
      <c r="J13" s="3">
        <v>42599</v>
      </c>
      <c r="K13" s="3">
        <f t="shared" si="0"/>
        <v>42634</v>
      </c>
      <c r="L13" s="518">
        <v>50000000</v>
      </c>
      <c r="M13" s="3">
        <f t="shared" si="1"/>
        <v>42779</v>
      </c>
    </row>
    <row r="14" spans="1:17">
      <c r="A14" s="45">
        <v>4658</v>
      </c>
      <c r="B14" s="45" t="s">
        <v>86</v>
      </c>
      <c r="C14" s="45" t="s">
        <v>457</v>
      </c>
      <c r="D14" s="45" t="s">
        <v>460</v>
      </c>
      <c r="E14" s="45" t="s">
        <v>82</v>
      </c>
      <c r="F14" s="520">
        <v>40000000</v>
      </c>
      <c r="G14" s="1" t="s">
        <v>161</v>
      </c>
      <c r="H14" s="518">
        <v>40000000</v>
      </c>
      <c r="I14" s="518">
        <v>40000000</v>
      </c>
      <c r="J14" s="3">
        <v>42599</v>
      </c>
      <c r="K14" s="3">
        <f t="shared" si="0"/>
        <v>42634</v>
      </c>
      <c r="L14" s="518">
        <v>40000000</v>
      </c>
      <c r="M14" s="3">
        <f t="shared" si="1"/>
        <v>42779</v>
      </c>
      <c r="N14" s="305">
        <v>22600000</v>
      </c>
      <c r="O14" s="97">
        <f>I14-N14</f>
        <v>17400000</v>
      </c>
      <c r="P14" s="3">
        <v>42721</v>
      </c>
      <c r="Q14" s="1" t="s">
        <v>357</v>
      </c>
    </row>
    <row r="15" spans="1:17">
      <c r="A15" s="45">
        <v>4659</v>
      </c>
      <c r="B15" s="45" t="s">
        <v>80</v>
      </c>
      <c r="C15" s="45" t="s">
        <v>260</v>
      </c>
      <c r="D15" s="45" t="s">
        <v>462</v>
      </c>
      <c r="E15" s="45" t="s">
        <v>83</v>
      </c>
      <c r="F15" s="520">
        <v>10000000</v>
      </c>
      <c r="G15" s="1" t="s">
        <v>161</v>
      </c>
      <c r="H15" s="518">
        <v>10000000</v>
      </c>
      <c r="I15" s="518">
        <v>10000000</v>
      </c>
      <c r="J15" s="3">
        <v>42599</v>
      </c>
      <c r="K15" s="3">
        <f t="shared" si="0"/>
        <v>42634</v>
      </c>
      <c r="L15" s="518">
        <v>10000000</v>
      </c>
      <c r="M15" s="3">
        <f t="shared" si="1"/>
        <v>42779</v>
      </c>
    </row>
    <row r="16" spans="1:17">
      <c r="A16" s="45">
        <v>4660</v>
      </c>
      <c r="B16" s="45" t="s">
        <v>86</v>
      </c>
      <c r="C16" s="45" t="s">
        <v>79</v>
      </c>
      <c r="D16" s="45" t="s">
        <v>465</v>
      </c>
      <c r="E16" s="45" t="s">
        <v>103</v>
      </c>
      <c r="F16" s="514">
        <v>40000000</v>
      </c>
      <c r="G16" s="1" t="s">
        <v>161</v>
      </c>
      <c r="H16" s="82">
        <v>40000000</v>
      </c>
      <c r="I16" s="82">
        <v>40000000</v>
      </c>
      <c r="J16" s="3">
        <v>42606</v>
      </c>
      <c r="K16" s="3">
        <f t="shared" si="0"/>
        <v>42641</v>
      </c>
      <c r="L16" s="82">
        <v>40000000</v>
      </c>
      <c r="M16" s="3">
        <f t="shared" si="1"/>
        <v>42786</v>
      </c>
      <c r="N16" s="305">
        <v>40000000</v>
      </c>
      <c r="O16" s="97">
        <f>I16-N16</f>
        <v>0</v>
      </c>
      <c r="P16" s="3">
        <v>42725</v>
      </c>
    </row>
    <row r="17" spans="1:16">
      <c r="A17" s="45">
        <v>4661</v>
      </c>
      <c r="B17" s="45" t="s">
        <v>358</v>
      </c>
      <c r="C17" s="45" t="s">
        <v>324</v>
      </c>
      <c r="D17" s="45" t="s">
        <v>470</v>
      </c>
      <c r="E17" s="45" t="s">
        <v>83</v>
      </c>
      <c r="F17" s="520">
        <v>39000000</v>
      </c>
      <c r="G17" s="1" t="s">
        <v>161</v>
      </c>
      <c r="H17" s="518">
        <v>39000000</v>
      </c>
      <c r="I17" s="518">
        <v>39000000</v>
      </c>
      <c r="J17" s="3">
        <v>42606</v>
      </c>
      <c r="K17" s="3">
        <f t="shared" si="0"/>
        <v>42641</v>
      </c>
      <c r="L17" s="518">
        <v>39000000</v>
      </c>
      <c r="M17" s="3">
        <f t="shared" si="1"/>
        <v>42786</v>
      </c>
      <c r="N17" s="518">
        <v>39000000</v>
      </c>
      <c r="O17" s="97">
        <f>I17-N17</f>
        <v>0</v>
      </c>
      <c r="P17" s="3">
        <v>42732</v>
      </c>
    </row>
    <row r="18" spans="1:16">
      <c r="A18" s="45">
        <v>4662</v>
      </c>
      <c r="B18" s="45" t="s">
        <v>80</v>
      </c>
      <c r="C18" s="45" t="s">
        <v>79</v>
      </c>
      <c r="D18" s="45" t="s">
        <v>469</v>
      </c>
      <c r="E18" s="45" t="s">
        <v>82</v>
      </c>
      <c r="F18" s="514">
        <v>45000000</v>
      </c>
      <c r="G18" s="1" t="s">
        <v>161</v>
      </c>
      <c r="H18" s="82">
        <v>45000000</v>
      </c>
      <c r="I18" s="82">
        <v>45000000</v>
      </c>
      <c r="J18" s="3">
        <v>42609</v>
      </c>
      <c r="K18" s="3">
        <f t="shared" si="0"/>
        <v>42644</v>
      </c>
      <c r="L18" s="82">
        <v>45000000</v>
      </c>
      <c r="M18" s="3">
        <f t="shared" si="1"/>
        <v>42789</v>
      </c>
    </row>
    <row r="19" spans="1:16">
      <c r="A19" s="45">
        <v>4663</v>
      </c>
      <c r="B19" s="45" t="s">
        <v>86</v>
      </c>
      <c r="C19" s="45" t="s">
        <v>381</v>
      </c>
      <c r="D19" s="45" t="s">
        <v>380</v>
      </c>
      <c r="E19" s="45" t="s">
        <v>230</v>
      </c>
      <c r="F19" s="520">
        <v>30000000</v>
      </c>
      <c r="G19" s="1" t="s">
        <v>161</v>
      </c>
      <c r="H19" s="518">
        <v>30000000</v>
      </c>
      <c r="I19" s="518">
        <v>30000000</v>
      </c>
      <c r="J19" s="3">
        <v>42609</v>
      </c>
      <c r="K19" s="3">
        <f t="shared" si="0"/>
        <v>42644</v>
      </c>
      <c r="L19" s="518">
        <v>30000000</v>
      </c>
      <c r="M19" s="3">
        <f t="shared" si="1"/>
        <v>42789</v>
      </c>
      <c r="N19" s="305">
        <v>7300000</v>
      </c>
      <c r="O19" s="97">
        <f>I19-N19</f>
        <v>22700000</v>
      </c>
      <c r="P19" s="3">
        <v>42693</v>
      </c>
    </row>
    <row r="20" spans="1:16">
      <c r="A20" s="45">
        <v>4664</v>
      </c>
      <c r="B20" s="45" t="s">
        <v>80</v>
      </c>
      <c r="C20" s="45" t="s">
        <v>391</v>
      </c>
      <c r="D20" s="45" t="s">
        <v>483</v>
      </c>
      <c r="E20" s="45" t="s">
        <v>393</v>
      </c>
      <c r="F20" s="520">
        <v>30000000</v>
      </c>
      <c r="G20" s="1" t="s">
        <v>161</v>
      </c>
      <c r="H20" s="518">
        <v>30000000</v>
      </c>
      <c r="I20" s="518">
        <v>30000000</v>
      </c>
      <c r="J20" s="3">
        <v>42613</v>
      </c>
      <c r="K20" s="3">
        <f t="shared" si="0"/>
        <v>42648</v>
      </c>
      <c r="L20" s="518">
        <v>30000000</v>
      </c>
      <c r="M20" s="3">
        <f t="shared" si="1"/>
        <v>42793</v>
      </c>
    </row>
    <row r="21" spans="1:16">
      <c r="A21" s="45">
        <v>4665</v>
      </c>
      <c r="B21" s="45" t="s">
        <v>80</v>
      </c>
      <c r="C21" s="45" t="s">
        <v>292</v>
      </c>
      <c r="D21" s="45" t="s">
        <v>332</v>
      </c>
      <c r="E21" s="45" t="s">
        <v>159</v>
      </c>
      <c r="F21" s="520">
        <v>30000000</v>
      </c>
      <c r="G21" s="1" t="s">
        <v>161</v>
      </c>
      <c r="H21" s="518">
        <v>30000000</v>
      </c>
      <c r="I21" s="518">
        <v>30000000</v>
      </c>
      <c r="J21" s="3">
        <v>42616</v>
      </c>
      <c r="K21" s="3">
        <f t="shared" si="0"/>
        <v>42651</v>
      </c>
      <c r="L21" s="518">
        <v>30000000</v>
      </c>
      <c r="M21" s="3">
        <f t="shared" si="1"/>
        <v>42796</v>
      </c>
    </row>
    <row r="22" spans="1:16">
      <c r="A22" s="45">
        <v>4666</v>
      </c>
      <c r="B22" s="45" t="s">
        <v>80</v>
      </c>
      <c r="C22" s="45" t="s">
        <v>79</v>
      </c>
      <c r="D22" s="45" t="s">
        <v>491</v>
      </c>
      <c r="E22" s="45" t="s">
        <v>82</v>
      </c>
      <c r="F22" s="514">
        <v>35000000</v>
      </c>
      <c r="G22" s="1" t="s">
        <v>161</v>
      </c>
      <c r="H22" s="82">
        <v>35000000</v>
      </c>
      <c r="I22" s="82">
        <v>35000000</v>
      </c>
      <c r="J22" s="3">
        <v>42628</v>
      </c>
      <c r="K22" s="3">
        <f t="shared" si="0"/>
        <v>42663</v>
      </c>
      <c r="L22" s="82">
        <v>35000000</v>
      </c>
      <c r="M22" s="3">
        <f t="shared" si="1"/>
        <v>42808</v>
      </c>
      <c r="N22" s="3"/>
    </row>
    <row r="23" spans="1:16">
      <c r="A23" s="45">
        <v>4667</v>
      </c>
      <c r="B23" s="45" t="s">
        <v>80</v>
      </c>
      <c r="C23" s="45" t="s">
        <v>79</v>
      </c>
      <c r="D23" s="45" t="s">
        <v>493</v>
      </c>
      <c r="E23" s="45" t="s">
        <v>85</v>
      </c>
      <c r="F23" s="514">
        <v>35000000</v>
      </c>
      <c r="G23" s="1" t="s">
        <v>161</v>
      </c>
      <c r="H23" s="82">
        <v>35000000</v>
      </c>
      <c r="I23" s="82">
        <v>35000000</v>
      </c>
      <c r="J23" s="3">
        <v>42628</v>
      </c>
      <c r="K23" s="3">
        <f t="shared" si="0"/>
        <v>42663</v>
      </c>
      <c r="L23" s="82">
        <v>35000000</v>
      </c>
      <c r="M23" s="3">
        <f t="shared" si="1"/>
        <v>42808</v>
      </c>
    </row>
    <row r="24" spans="1:16">
      <c r="A24" s="45">
        <v>4668</v>
      </c>
      <c r="B24" s="45" t="s">
        <v>360</v>
      </c>
      <c r="C24" s="45" t="s">
        <v>292</v>
      </c>
      <c r="D24" s="45" t="s">
        <v>495</v>
      </c>
      <c r="E24" s="45" t="s">
        <v>496</v>
      </c>
      <c r="F24" s="520">
        <v>28000000</v>
      </c>
      <c r="G24" s="1" t="s">
        <v>161</v>
      </c>
      <c r="H24" s="518">
        <v>28000000</v>
      </c>
      <c r="I24" s="518">
        <v>28000000</v>
      </c>
      <c r="J24" s="3">
        <v>42628</v>
      </c>
      <c r="K24" s="3">
        <f t="shared" si="0"/>
        <v>42663</v>
      </c>
      <c r="L24" s="97">
        <v>0</v>
      </c>
      <c r="M24" s="3">
        <f t="shared" si="1"/>
        <v>42808</v>
      </c>
      <c r="N24" s="97">
        <v>0</v>
      </c>
      <c r="O24" s="97">
        <f>I24-N24</f>
        <v>28000000</v>
      </c>
      <c r="P24" s="3">
        <v>42656</v>
      </c>
    </row>
    <row r="25" spans="1:16" s="14" customFormat="1">
      <c r="A25" s="45">
        <v>4669</v>
      </c>
      <c r="B25" s="45" t="s">
        <v>80</v>
      </c>
      <c r="C25" s="45" t="s">
        <v>497</v>
      </c>
      <c r="D25" s="45" t="s">
        <v>498</v>
      </c>
      <c r="E25" s="45" t="s">
        <v>85</v>
      </c>
      <c r="F25" s="520">
        <v>35000000</v>
      </c>
      <c r="G25" s="1" t="s">
        <v>161</v>
      </c>
      <c r="H25" s="518">
        <v>35000000</v>
      </c>
      <c r="I25" s="518">
        <v>35000000</v>
      </c>
      <c r="J25" s="3">
        <v>42628</v>
      </c>
      <c r="K25" s="3">
        <f t="shared" si="0"/>
        <v>42663</v>
      </c>
      <c r="L25" s="518">
        <v>35000000</v>
      </c>
      <c r="M25" s="3">
        <f t="shared" si="1"/>
        <v>42808</v>
      </c>
      <c r="N25" s="97"/>
    </row>
    <row r="26" spans="1:16" s="14" customFormat="1">
      <c r="A26" s="45">
        <v>4670</v>
      </c>
      <c r="B26" s="45" t="s">
        <v>80</v>
      </c>
      <c r="C26" s="45" t="s">
        <v>79</v>
      </c>
      <c r="D26" s="45" t="s">
        <v>504</v>
      </c>
      <c r="E26" s="45" t="s">
        <v>238</v>
      </c>
      <c r="F26" s="514">
        <v>14000000</v>
      </c>
      <c r="G26" s="1" t="s">
        <v>161</v>
      </c>
      <c r="H26" s="82">
        <v>14000000</v>
      </c>
      <c r="I26" s="82">
        <v>14000000</v>
      </c>
      <c r="J26" s="3">
        <v>42628</v>
      </c>
      <c r="K26" s="3">
        <f t="shared" si="0"/>
        <v>42663</v>
      </c>
      <c r="L26" s="82">
        <v>14000000</v>
      </c>
      <c r="M26" s="3">
        <f t="shared" si="1"/>
        <v>42808</v>
      </c>
      <c r="N26" s="12"/>
    </row>
    <row r="27" spans="1:16" s="14" customFormat="1">
      <c r="A27" s="45">
        <v>4671</v>
      </c>
      <c r="B27" s="45" t="s">
        <v>86</v>
      </c>
      <c r="C27" s="45" t="s">
        <v>514</v>
      </c>
      <c r="D27" s="45" t="s">
        <v>515</v>
      </c>
      <c r="E27" s="45" t="s">
        <v>516</v>
      </c>
      <c r="F27" s="521">
        <v>100000000</v>
      </c>
      <c r="G27" s="1" t="s">
        <v>161</v>
      </c>
      <c r="H27" s="521">
        <v>100000000</v>
      </c>
      <c r="I27" s="521">
        <v>100000000</v>
      </c>
      <c r="J27" s="534">
        <v>42633</v>
      </c>
      <c r="K27" s="264">
        <f t="shared" si="0"/>
        <v>42668</v>
      </c>
      <c r="L27" s="82">
        <v>30000000</v>
      </c>
      <c r="M27" s="534">
        <f>J27+150</f>
        <v>42783</v>
      </c>
      <c r="N27" s="365">
        <v>22000000</v>
      </c>
      <c r="O27" s="97">
        <f>I27-N27</f>
        <v>78000000</v>
      </c>
      <c r="P27" s="12">
        <v>42732</v>
      </c>
    </row>
    <row r="28" spans="1:16" s="14" customFormat="1">
      <c r="A28" s="45">
        <v>4672</v>
      </c>
      <c r="B28" s="45" t="s">
        <v>80</v>
      </c>
      <c r="C28" s="45" t="s">
        <v>290</v>
      </c>
      <c r="D28" s="45" t="s">
        <v>518</v>
      </c>
      <c r="E28" s="45" t="s">
        <v>83</v>
      </c>
      <c r="F28" s="520">
        <v>22000000</v>
      </c>
      <c r="G28" s="1" t="s">
        <v>161</v>
      </c>
      <c r="H28" s="518">
        <v>22000000</v>
      </c>
      <c r="I28" s="518">
        <v>22000000</v>
      </c>
      <c r="J28" s="534">
        <v>42658</v>
      </c>
      <c r="K28" s="264">
        <f t="shared" si="0"/>
        <v>42693</v>
      </c>
      <c r="L28" s="518">
        <v>22000000</v>
      </c>
      <c r="M28" s="264">
        <f t="shared" si="1"/>
        <v>42838</v>
      </c>
      <c r="N28" s="12"/>
    </row>
    <row r="29" spans="1:16" s="14" customFormat="1">
      <c r="A29" s="45">
        <v>4673</v>
      </c>
      <c r="B29" s="45" t="s">
        <v>80</v>
      </c>
      <c r="C29" s="45" t="s">
        <v>520</v>
      </c>
      <c r="D29" s="45" t="s">
        <v>521</v>
      </c>
      <c r="E29" s="45" t="s">
        <v>522</v>
      </c>
      <c r="F29" s="521">
        <v>14000000</v>
      </c>
      <c r="G29" s="1" t="s">
        <v>161</v>
      </c>
      <c r="H29" s="519">
        <v>14000000</v>
      </c>
      <c r="I29" s="519">
        <v>14000000</v>
      </c>
      <c r="J29" s="534">
        <v>42658</v>
      </c>
      <c r="K29" s="264">
        <f t="shared" ref="K29:K43" si="2">J29+35</f>
        <v>42693</v>
      </c>
      <c r="L29" s="519">
        <v>14000000</v>
      </c>
      <c r="M29" s="264">
        <f t="shared" si="1"/>
        <v>42838</v>
      </c>
      <c r="N29" s="12"/>
    </row>
    <row r="30" spans="1:16" s="14" customFormat="1">
      <c r="A30" s="45">
        <v>4674</v>
      </c>
      <c r="B30" s="45" t="s">
        <v>80</v>
      </c>
      <c r="C30" s="45" t="s">
        <v>79</v>
      </c>
      <c r="D30" s="45" t="s">
        <v>526</v>
      </c>
      <c r="E30" s="45" t="s">
        <v>180</v>
      </c>
      <c r="F30" s="545">
        <v>18000000</v>
      </c>
      <c r="G30" s="1" t="s">
        <v>161</v>
      </c>
      <c r="H30" s="537">
        <v>18000000</v>
      </c>
      <c r="I30" s="537">
        <v>18000000</v>
      </c>
      <c r="J30" s="533">
        <v>42658</v>
      </c>
      <c r="K30" s="264">
        <f t="shared" si="2"/>
        <v>42693</v>
      </c>
      <c r="L30" s="537">
        <v>18000000</v>
      </c>
      <c r="M30" s="264">
        <f t="shared" si="1"/>
        <v>42838</v>
      </c>
      <c r="N30" s="12"/>
    </row>
    <row r="31" spans="1:16" s="14" customFormat="1">
      <c r="A31" s="45">
        <v>4675</v>
      </c>
      <c r="B31" s="45" t="s">
        <v>80</v>
      </c>
      <c r="C31" s="45" t="s">
        <v>79</v>
      </c>
      <c r="D31" s="45" t="s">
        <v>527</v>
      </c>
      <c r="E31" s="45" t="s">
        <v>82</v>
      </c>
      <c r="F31" s="545">
        <v>25000000</v>
      </c>
      <c r="G31" s="1" t="s">
        <v>161</v>
      </c>
      <c r="H31" s="537">
        <v>25000000</v>
      </c>
      <c r="I31" s="537">
        <v>25000000</v>
      </c>
      <c r="J31" s="533">
        <v>42658</v>
      </c>
      <c r="K31" s="264">
        <f t="shared" si="2"/>
        <v>42693</v>
      </c>
      <c r="L31" s="537">
        <v>25000000</v>
      </c>
      <c r="M31" s="264">
        <f t="shared" si="1"/>
        <v>42838</v>
      </c>
      <c r="N31" s="12"/>
    </row>
    <row r="32" spans="1:16" s="14" customFormat="1">
      <c r="A32" s="45">
        <v>4676</v>
      </c>
      <c r="B32" s="45" t="s">
        <v>80</v>
      </c>
      <c r="C32" s="45" t="s">
        <v>79</v>
      </c>
      <c r="D32" s="45" t="s">
        <v>566</v>
      </c>
      <c r="E32" s="45" t="s">
        <v>83</v>
      </c>
      <c r="F32" s="545">
        <v>20000000</v>
      </c>
      <c r="G32" s="1" t="s">
        <v>161</v>
      </c>
      <c r="H32" s="537">
        <v>20000000</v>
      </c>
      <c r="I32" s="537">
        <v>20000000</v>
      </c>
      <c r="J32" s="533">
        <v>42658</v>
      </c>
      <c r="K32" s="264">
        <f t="shared" si="2"/>
        <v>42693</v>
      </c>
      <c r="L32" s="537">
        <v>20000000</v>
      </c>
      <c r="M32" s="264">
        <f t="shared" si="1"/>
        <v>42838</v>
      </c>
      <c r="N32" s="12"/>
      <c r="O32" s="207"/>
    </row>
    <row r="33" spans="1:18" s="14" customFormat="1">
      <c r="A33" s="45">
        <v>4677</v>
      </c>
      <c r="B33" s="45" t="s">
        <v>360</v>
      </c>
      <c r="C33" s="45" t="s">
        <v>224</v>
      </c>
      <c r="D33" s="45" t="s">
        <v>530</v>
      </c>
      <c r="E33" s="45" t="s">
        <v>85</v>
      </c>
      <c r="F33" s="535">
        <v>30000000</v>
      </c>
      <c r="G33" s="1" t="s">
        <v>161</v>
      </c>
      <c r="H33" s="536">
        <v>30000000</v>
      </c>
      <c r="I33" s="536">
        <v>30000000</v>
      </c>
      <c r="J33" s="533">
        <v>42658</v>
      </c>
      <c r="K33" s="264">
        <f t="shared" si="2"/>
        <v>42693</v>
      </c>
      <c r="L33" s="97">
        <v>0</v>
      </c>
      <c r="M33" s="264">
        <f t="shared" si="1"/>
        <v>42838</v>
      </c>
      <c r="N33" s="97">
        <v>0</v>
      </c>
      <c r="O33" s="531">
        <f>I33-N33</f>
        <v>30000000</v>
      </c>
      <c r="P33" s="12">
        <v>42675</v>
      </c>
    </row>
    <row r="34" spans="1:18" s="14" customFormat="1">
      <c r="A34" s="45">
        <v>4678</v>
      </c>
      <c r="B34" s="45" t="s">
        <v>80</v>
      </c>
      <c r="C34" s="45" t="s">
        <v>224</v>
      </c>
      <c r="D34" s="45" t="s">
        <v>404</v>
      </c>
      <c r="E34" s="45" t="s">
        <v>85</v>
      </c>
      <c r="F34" s="535">
        <v>20000000</v>
      </c>
      <c r="G34" s="1" t="s">
        <v>161</v>
      </c>
      <c r="H34" s="536">
        <v>20000000</v>
      </c>
      <c r="I34" s="536">
        <v>20000000</v>
      </c>
      <c r="J34" s="533">
        <v>42658</v>
      </c>
      <c r="K34" s="264">
        <f t="shared" si="2"/>
        <v>42693</v>
      </c>
      <c r="L34" s="536">
        <v>20000000</v>
      </c>
      <c r="M34" s="264">
        <f t="shared" si="1"/>
        <v>42838</v>
      </c>
      <c r="N34" s="12"/>
      <c r="O34" s="207"/>
    </row>
    <row r="35" spans="1:18" s="45" customFormat="1">
      <c r="A35" s="45">
        <v>4679</v>
      </c>
      <c r="B35" s="45" t="s">
        <v>360</v>
      </c>
      <c r="C35" s="250" t="s">
        <v>320</v>
      </c>
      <c r="D35" s="45" t="s">
        <v>537</v>
      </c>
      <c r="E35" s="45" t="s">
        <v>84</v>
      </c>
      <c r="F35" s="521">
        <v>29000000</v>
      </c>
      <c r="G35" s="1" t="s">
        <v>161</v>
      </c>
      <c r="H35" s="519">
        <v>29000000</v>
      </c>
      <c r="I35" s="519">
        <v>29000000</v>
      </c>
      <c r="J35" s="533">
        <v>42658</v>
      </c>
      <c r="K35" s="264">
        <f t="shared" si="2"/>
        <v>42693</v>
      </c>
      <c r="L35" s="97">
        <v>0</v>
      </c>
      <c r="M35" s="264">
        <f t="shared" si="1"/>
        <v>42838</v>
      </c>
      <c r="N35" s="97">
        <v>0</v>
      </c>
      <c r="O35" s="531">
        <f>I35-N35</f>
        <v>29000000</v>
      </c>
      <c r="P35" s="124">
        <v>42661</v>
      </c>
    </row>
    <row r="36" spans="1:18" s="45" customFormat="1">
      <c r="A36" s="45" t="s">
        <v>536</v>
      </c>
      <c r="B36" s="45" t="s">
        <v>360</v>
      </c>
      <c r="C36" s="250" t="s">
        <v>320</v>
      </c>
      <c r="D36" s="45" t="s">
        <v>538</v>
      </c>
      <c r="E36" s="45" t="s">
        <v>84</v>
      </c>
      <c r="F36" s="521">
        <v>35000000</v>
      </c>
      <c r="G36" s="1" t="s">
        <v>161</v>
      </c>
      <c r="H36" s="519"/>
      <c r="I36" s="519"/>
      <c r="J36" s="73"/>
      <c r="K36" s="264"/>
      <c r="L36" s="73"/>
      <c r="M36" s="534"/>
      <c r="N36" s="124"/>
    </row>
    <row r="37" spans="1:18" s="45" customFormat="1">
      <c r="A37" s="45">
        <v>4680</v>
      </c>
      <c r="B37" s="45" t="s">
        <v>360</v>
      </c>
      <c r="C37" s="250" t="s">
        <v>290</v>
      </c>
      <c r="D37" s="45" t="s">
        <v>543</v>
      </c>
      <c r="E37" s="45" t="s">
        <v>83</v>
      </c>
      <c r="F37" s="521">
        <v>20000000</v>
      </c>
      <c r="G37" s="1" t="s">
        <v>161</v>
      </c>
      <c r="H37" s="519">
        <v>20000000</v>
      </c>
      <c r="I37" s="519">
        <v>20000000</v>
      </c>
      <c r="J37" s="534">
        <v>42662</v>
      </c>
      <c r="K37" s="264">
        <f t="shared" si="2"/>
        <v>42697</v>
      </c>
      <c r="L37" s="97">
        <v>0</v>
      </c>
      <c r="M37" s="264">
        <f t="shared" si="1"/>
        <v>42842</v>
      </c>
      <c r="N37" s="97">
        <v>0</v>
      </c>
      <c r="O37" s="531">
        <f>I37-N37</f>
        <v>20000000</v>
      </c>
      <c r="P37" s="124">
        <v>42671</v>
      </c>
    </row>
    <row r="38" spans="1:18" s="14" customFormat="1">
      <c r="A38" s="45">
        <v>4681</v>
      </c>
      <c r="B38" s="45" t="s">
        <v>80</v>
      </c>
      <c r="C38" s="250" t="s">
        <v>184</v>
      </c>
      <c r="D38" s="45" t="s">
        <v>547</v>
      </c>
      <c r="E38" s="45" t="s">
        <v>511</v>
      </c>
      <c r="F38" s="543">
        <v>37500000</v>
      </c>
      <c r="G38" s="1" t="s">
        <v>161</v>
      </c>
      <c r="H38" s="517">
        <v>37500000</v>
      </c>
      <c r="I38" s="517">
        <v>37500000</v>
      </c>
      <c r="J38" s="544">
        <v>42662</v>
      </c>
      <c r="K38" s="264">
        <f t="shared" si="2"/>
        <v>42697</v>
      </c>
      <c r="L38" s="517">
        <v>37500000</v>
      </c>
      <c r="M38" s="264">
        <f t="shared" si="1"/>
        <v>42842</v>
      </c>
      <c r="N38" s="12"/>
      <c r="Q38" s="57"/>
    </row>
    <row r="39" spans="1:18" s="45" customFormat="1">
      <c r="A39" s="45">
        <v>4682</v>
      </c>
      <c r="B39" s="45" t="s">
        <v>80</v>
      </c>
      <c r="C39" s="250" t="s">
        <v>550</v>
      </c>
      <c r="D39" s="45" t="s">
        <v>549</v>
      </c>
      <c r="E39" s="45" t="s">
        <v>85</v>
      </c>
      <c r="F39" s="520">
        <v>50000000</v>
      </c>
      <c r="G39" s="45" t="s">
        <v>161</v>
      </c>
      <c r="H39" s="518">
        <v>50000000</v>
      </c>
      <c r="I39" s="518">
        <v>50000000</v>
      </c>
      <c r="J39" s="534">
        <v>42664</v>
      </c>
      <c r="K39" s="264">
        <f t="shared" si="2"/>
        <v>42699</v>
      </c>
      <c r="L39" s="518">
        <v>50000000</v>
      </c>
      <c r="M39" s="534">
        <f t="shared" si="1"/>
        <v>42844</v>
      </c>
      <c r="N39" s="124"/>
    </row>
    <row r="40" spans="1:18" s="45" customFormat="1">
      <c r="A40" s="45" t="s">
        <v>551</v>
      </c>
      <c r="B40" s="45" t="s">
        <v>360</v>
      </c>
      <c r="C40" s="250" t="s">
        <v>324</v>
      </c>
      <c r="D40" s="45" t="s">
        <v>552</v>
      </c>
      <c r="E40" s="45" t="s">
        <v>388</v>
      </c>
      <c r="F40" s="514">
        <v>40000000</v>
      </c>
      <c r="G40" s="1" t="s">
        <v>161</v>
      </c>
      <c r="H40" s="82"/>
      <c r="I40" s="82"/>
      <c r="J40" s="514"/>
      <c r="K40" s="124"/>
      <c r="L40" s="514"/>
      <c r="M40" s="525"/>
      <c r="N40" s="124"/>
    </row>
    <row r="41" spans="1:18" s="45" customFormat="1">
      <c r="A41" s="45">
        <v>4684</v>
      </c>
      <c r="B41" s="45" t="s">
        <v>80</v>
      </c>
      <c r="C41" s="250" t="s">
        <v>281</v>
      </c>
      <c r="D41" s="45" t="s">
        <v>555</v>
      </c>
      <c r="E41" s="45" t="s">
        <v>85</v>
      </c>
      <c r="F41" s="514">
        <v>38000000</v>
      </c>
      <c r="G41" s="45" t="s">
        <v>161</v>
      </c>
      <c r="H41" s="82">
        <v>38000000</v>
      </c>
      <c r="I41" s="82">
        <v>38000000</v>
      </c>
      <c r="J41" s="534">
        <v>42672</v>
      </c>
      <c r="K41" s="264">
        <f t="shared" si="2"/>
        <v>42707</v>
      </c>
      <c r="L41" s="82">
        <v>38000000</v>
      </c>
      <c r="M41" s="534">
        <f t="shared" si="1"/>
        <v>42852</v>
      </c>
      <c r="N41" s="124"/>
      <c r="P41" s="124"/>
      <c r="R41" s="124"/>
    </row>
    <row r="42" spans="1:18" s="45" customFormat="1">
      <c r="A42" s="45">
        <v>4685</v>
      </c>
      <c r="B42" s="45" t="s">
        <v>80</v>
      </c>
      <c r="C42" s="250" t="s">
        <v>281</v>
      </c>
      <c r="D42" s="45" t="s">
        <v>557</v>
      </c>
      <c r="E42" s="45" t="s">
        <v>85</v>
      </c>
      <c r="F42" s="514">
        <v>38000000</v>
      </c>
      <c r="G42" s="45" t="s">
        <v>161</v>
      </c>
      <c r="H42" s="82">
        <v>38000000</v>
      </c>
      <c r="I42" s="82">
        <v>38000000</v>
      </c>
      <c r="J42" s="534">
        <v>42676</v>
      </c>
      <c r="K42" s="264">
        <f t="shared" si="2"/>
        <v>42711</v>
      </c>
      <c r="L42" s="82">
        <v>38000000</v>
      </c>
      <c r="M42" s="534">
        <f t="shared" si="1"/>
        <v>42856</v>
      </c>
      <c r="N42" s="124"/>
      <c r="O42" s="124"/>
      <c r="P42" s="124"/>
    </row>
    <row r="43" spans="1:18" s="45" customFormat="1">
      <c r="A43" s="45">
        <v>4686</v>
      </c>
      <c r="B43" s="45" t="s">
        <v>80</v>
      </c>
      <c r="C43" s="250" t="s">
        <v>273</v>
      </c>
      <c r="D43" s="45" t="s">
        <v>559</v>
      </c>
      <c r="E43" s="45" t="s">
        <v>192</v>
      </c>
      <c r="F43" s="521">
        <v>100000000</v>
      </c>
      <c r="G43" s="45" t="s">
        <v>161</v>
      </c>
      <c r="H43" s="519">
        <v>100000000</v>
      </c>
      <c r="I43" s="252">
        <v>43375000</v>
      </c>
      <c r="J43" s="534">
        <v>42686</v>
      </c>
      <c r="K43" s="264">
        <f t="shared" si="2"/>
        <v>42721</v>
      </c>
      <c r="L43" s="252">
        <v>43375000</v>
      </c>
      <c r="M43" s="534">
        <f>J43+210</f>
        <v>42896</v>
      </c>
      <c r="N43" s="124"/>
    </row>
    <row r="44" spans="1:18" s="45" customFormat="1">
      <c r="A44" s="45" t="s">
        <v>560</v>
      </c>
      <c r="B44" s="45" t="s">
        <v>360</v>
      </c>
      <c r="C44" s="250" t="s">
        <v>281</v>
      </c>
      <c r="D44" s="45" t="s">
        <v>265</v>
      </c>
      <c r="E44" s="45" t="s">
        <v>85</v>
      </c>
      <c r="F44" s="521">
        <v>60000000</v>
      </c>
      <c r="G44" s="45" t="s">
        <v>161</v>
      </c>
      <c r="H44" s="519"/>
      <c r="I44" s="252"/>
      <c r="J44" s="525"/>
      <c r="K44" s="124"/>
      <c r="L44" s="514"/>
      <c r="M44" s="525"/>
      <c r="N44" s="124"/>
    </row>
    <row r="45" spans="1:18" s="45" customFormat="1">
      <c r="A45" s="45" t="s">
        <v>561</v>
      </c>
      <c r="B45" s="45" t="s">
        <v>45</v>
      </c>
      <c r="C45" s="250" t="s">
        <v>79</v>
      </c>
      <c r="D45" s="45" t="s">
        <v>563</v>
      </c>
      <c r="E45" s="45" t="s">
        <v>272</v>
      </c>
      <c r="F45" s="521">
        <v>60000000</v>
      </c>
      <c r="G45" s="45" t="s">
        <v>161</v>
      </c>
      <c r="H45" s="519">
        <v>60000000</v>
      </c>
      <c r="I45" s="252"/>
      <c r="J45" s="525"/>
      <c r="K45" s="124"/>
      <c r="L45" s="514"/>
      <c r="M45" s="525"/>
      <c r="N45" s="124"/>
    </row>
    <row r="46" spans="1:18" s="45" customFormat="1">
      <c r="A46" s="45" t="s">
        <v>562</v>
      </c>
      <c r="B46" s="45" t="s">
        <v>45</v>
      </c>
      <c r="C46" s="250" t="s">
        <v>79</v>
      </c>
      <c r="D46" s="45" t="s">
        <v>564</v>
      </c>
      <c r="E46" s="45" t="s">
        <v>272</v>
      </c>
      <c r="F46" s="521">
        <v>60000000</v>
      </c>
      <c r="G46" s="45" t="s">
        <v>161</v>
      </c>
      <c r="H46" s="519">
        <v>60000000</v>
      </c>
      <c r="I46" s="252"/>
      <c r="J46" s="525"/>
      <c r="K46" s="124"/>
      <c r="L46" s="514"/>
      <c r="M46" s="525"/>
      <c r="N46" s="124"/>
    </row>
    <row r="47" spans="1:18" s="45" customFormat="1">
      <c r="A47" s="45">
        <v>4683</v>
      </c>
      <c r="B47" s="45" t="s">
        <v>86</v>
      </c>
      <c r="C47" s="250" t="s">
        <v>79</v>
      </c>
      <c r="D47" s="250" t="s">
        <v>163</v>
      </c>
      <c r="E47" s="250" t="s">
        <v>192</v>
      </c>
      <c r="F47" s="521">
        <v>800000000</v>
      </c>
      <c r="G47" s="45" t="s">
        <v>161</v>
      </c>
      <c r="H47" s="521">
        <v>800000000</v>
      </c>
      <c r="I47" s="521">
        <v>800000000</v>
      </c>
      <c r="J47" s="534">
        <v>42664</v>
      </c>
      <c r="K47" s="264">
        <f t="shared" ref="K47" si="3">J47+35</f>
        <v>42699</v>
      </c>
      <c r="L47" s="514">
        <v>0</v>
      </c>
      <c r="M47" s="525">
        <f>J47+210</f>
        <v>42874</v>
      </c>
      <c r="N47" s="514">
        <v>0</v>
      </c>
      <c r="O47" s="531">
        <f>I47-N47</f>
        <v>800000000</v>
      </c>
      <c r="P47" s="124">
        <v>42683</v>
      </c>
      <c r="Q47" s="45" t="s">
        <v>357</v>
      </c>
    </row>
    <row r="48" spans="1:18" s="45" customFormat="1">
      <c r="A48" s="45" t="s">
        <v>577</v>
      </c>
      <c r="B48" s="45" t="s">
        <v>45</v>
      </c>
      <c r="C48" s="250" t="s">
        <v>184</v>
      </c>
      <c r="D48" s="45" t="s">
        <v>471</v>
      </c>
      <c r="E48" s="45" t="s">
        <v>84</v>
      </c>
      <c r="F48" s="263">
        <v>15000000</v>
      </c>
      <c r="G48" s="45" t="s">
        <v>161</v>
      </c>
      <c r="H48" s="263">
        <v>15000000</v>
      </c>
      <c r="I48" s="521"/>
      <c r="J48" s="534"/>
      <c r="K48" s="264"/>
      <c r="L48" s="514"/>
      <c r="M48" s="525"/>
      <c r="N48" s="124"/>
      <c r="O48" s="531"/>
    </row>
    <row r="49" spans="1:15">
      <c r="A49" s="14"/>
      <c r="C49" s="45"/>
      <c r="F49" s="329"/>
      <c r="G49" s="329"/>
      <c r="H49" s="517"/>
      <c r="I49" s="252"/>
      <c r="J49" s="8"/>
      <c r="K49" s="8"/>
      <c r="N49" s="298"/>
      <c r="O49" s="298"/>
    </row>
    <row r="50" spans="1:15">
      <c r="A50" s="14"/>
      <c r="C50" s="5"/>
      <c r="D50" s="5" t="s">
        <v>7</v>
      </c>
      <c r="E50" s="5" t="s">
        <v>6</v>
      </c>
      <c r="F50" s="391">
        <f>SUM(F7:F49)</f>
        <v>2287500000</v>
      </c>
      <c r="G50" s="86"/>
      <c r="H50" s="110">
        <f>SUM(H7:H49)</f>
        <v>2152500000</v>
      </c>
      <c r="I50" s="110">
        <f>SUM(I7:I49)</f>
        <v>1960875000</v>
      </c>
      <c r="J50" s="12"/>
      <c r="K50" s="12"/>
      <c r="L50" s="391">
        <f>SUM(L7:L49)</f>
        <v>980375000</v>
      </c>
      <c r="N50" s="391">
        <f>SUM(N7:N49)</f>
        <v>166697000</v>
      </c>
      <c r="O50" s="391">
        <f>SUM(O7:O49)</f>
        <v>1074303000</v>
      </c>
    </row>
    <row r="51" spans="1:15">
      <c r="A51" s="14"/>
      <c r="C51" s="45"/>
      <c r="F51" s="305"/>
      <c r="G51" s="305"/>
      <c r="H51" s="305"/>
      <c r="K51" s="3"/>
    </row>
    <row r="52" spans="1:15">
      <c r="A52" s="14"/>
      <c r="C52" s="14"/>
      <c r="E52" s="14" t="s">
        <v>45</v>
      </c>
      <c r="F52" s="458">
        <f>H50-I50</f>
        <v>191625000</v>
      </c>
      <c r="G52" s="458"/>
      <c r="H52" s="458"/>
      <c r="K52" s="3"/>
      <c r="L52" s="261"/>
    </row>
    <row r="55" spans="1:15">
      <c r="J55" s="3"/>
      <c r="M55" s="328"/>
    </row>
    <row r="56" spans="1:15">
      <c r="D56" s="227"/>
      <c r="I56" s="3"/>
      <c r="J56" s="3"/>
      <c r="K56" s="3"/>
      <c r="L56" s="3"/>
    </row>
    <row r="57" spans="1:15">
      <c r="D57" s="227"/>
    </row>
    <row r="59" spans="1:15">
      <c r="D59" s="227"/>
      <c r="E59" s="4" t="s">
        <v>553</v>
      </c>
      <c r="F59" s="516">
        <f>B1-I50+O50+D59</f>
        <v>96023000.300000072</v>
      </c>
    </row>
    <row r="60" spans="1:15">
      <c r="F60" s="1" t="s">
        <v>578</v>
      </c>
    </row>
  </sheetData>
  <sortState xmlns:xlrd2="http://schemas.microsoft.com/office/spreadsheetml/2017/richdata2" ref="A7:H34">
    <sortCondition ref="A7:A34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S45"/>
  <sheetViews>
    <sheetView zoomScaleNormal="100" workbookViewId="0">
      <selection activeCell="A10" sqref="A10:XFD11"/>
    </sheetView>
  </sheetViews>
  <sheetFormatPr defaultColWidth="11.42578125" defaultRowHeight="12"/>
  <cols>
    <col min="1" max="1" width="7.85546875" style="1" customWidth="1"/>
    <col min="2" max="2" width="12" style="1" bestFit="1" customWidth="1"/>
    <col min="3" max="3" width="36.42578125" style="1" bestFit="1" customWidth="1"/>
    <col min="4" max="4" width="27.140625" style="1" bestFit="1" customWidth="1"/>
    <col min="5" max="5" width="16.42578125" style="1" bestFit="1" customWidth="1"/>
    <col min="6" max="6" width="15.7109375" style="10" bestFit="1" customWidth="1"/>
    <col min="7" max="7" width="16" style="131" bestFit="1" customWidth="1"/>
    <col min="8" max="8" width="15.7109375" style="10" bestFit="1" customWidth="1"/>
    <col min="9" max="9" width="15.7109375" style="15" bestFit="1" customWidth="1"/>
    <col min="10" max="10" width="16.42578125" style="1" bestFit="1" customWidth="1"/>
    <col min="11" max="11" width="14.42578125" style="1" bestFit="1" customWidth="1"/>
    <col min="12" max="12" width="14.7109375" style="2" bestFit="1" customWidth="1"/>
    <col min="13" max="13" width="9.5703125" style="1" bestFit="1" customWidth="1"/>
    <col min="14" max="14" width="16" style="186" bestFit="1" customWidth="1"/>
    <col min="15" max="15" width="14.7109375" style="186" bestFit="1" customWidth="1"/>
    <col min="16" max="16" width="9.85546875" style="1" bestFit="1" customWidth="1"/>
    <col min="17" max="17" width="15.28515625" style="1" bestFit="1" customWidth="1"/>
    <col min="18" max="19" width="11.5703125" style="1" bestFit="1" customWidth="1"/>
    <col min="20" max="16384" width="11.42578125" style="1"/>
  </cols>
  <sheetData>
    <row r="1" spans="1:19" s="25" customFormat="1">
      <c r="A1" s="17" t="s">
        <v>21</v>
      </c>
      <c r="C1" s="262">
        <f>Totals!C8</f>
        <v>981873021</v>
      </c>
      <c r="D1" s="19"/>
      <c r="E1" s="19"/>
      <c r="F1" s="187"/>
      <c r="G1" s="173"/>
      <c r="H1" s="90"/>
      <c r="I1" s="21"/>
      <c r="K1" s="71"/>
      <c r="N1" s="183"/>
      <c r="O1" s="183"/>
      <c r="P1" s="24"/>
    </row>
    <row r="2" spans="1:19" s="14" customFormat="1">
      <c r="A2" s="26" t="s">
        <v>37</v>
      </c>
      <c r="C2" s="5"/>
      <c r="D2" s="482"/>
      <c r="E2" s="5"/>
      <c r="G2" s="174"/>
      <c r="H2" s="91"/>
      <c r="I2" s="29"/>
      <c r="K2" s="302"/>
      <c r="M2" s="12"/>
      <c r="N2" s="184"/>
      <c r="O2" s="184"/>
      <c r="P2" s="92"/>
    </row>
    <row r="3" spans="1:19" s="14" customFormat="1">
      <c r="A3" s="26"/>
      <c r="C3" s="5"/>
      <c r="D3" s="5"/>
      <c r="E3" s="5"/>
      <c r="G3" s="174"/>
      <c r="H3" s="91"/>
      <c r="I3" s="29"/>
      <c r="J3" s="45" t="s">
        <v>71</v>
      </c>
      <c r="K3" s="303">
        <f>C1*0.1</f>
        <v>98187302.100000009</v>
      </c>
      <c r="L3" s="303"/>
      <c r="M3" s="12"/>
      <c r="N3" s="184"/>
      <c r="O3" s="184"/>
      <c r="P3" s="92"/>
    </row>
    <row r="4" spans="1:19" s="14" customFormat="1">
      <c r="A4" s="26"/>
      <c r="C4" s="5"/>
      <c r="D4" s="5"/>
      <c r="E4" s="5"/>
      <c r="G4" s="174"/>
      <c r="H4" s="91"/>
      <c r="I4" s="29"/>
      <c r="J4" s="45" t="s">
        <v>70</v>
      </c>
      <c r="K4" s="303">
        <f>C1*0.3334</f>
        <v>327356465.20139998</v>
      </c>
      <c r="L4" s="303"/>
      <c r="M4" s="498"/>
      <c r="N4" s="184"/>
      <c r="O4" s="184"/>
      <c r="P4" s="92"/>
    </row>
    <row r="5" spans="1:19" s="14" customFormat="1">
      <c r="A5" s="26"/>
      <c r="C5" s="5"/>
      <c r="D5" s="5"/>
      <c r="E5" s="5"/>
      <c r="F5" s="91"/>
      <c r="G5" s="174"/>
      <c r="H5" s="91"/>
      <c r="K5" s="5"/>
      <c r="L5" s="64"/>
      <c r="M5" s="12"/>
      <c r="N5" s="184"/>
      <c r="O5" s="184"/>
      <c r="P5" s="92"/>
    </row>
    <row r="6" spans="1:19" s="5" customFormat="1">
      <c r="A6" s="32" t="s">
        <v>34</v>
      </c>
      <c r="B6" s="5" t="s">
        <v>39</v>
      </c>
      <c r="C6" s="5" t="s">
        <v>32</v>
      </c>
      <c r="D6" s="5" t="s">
        <v>51</v>
      </c>
      <c r="E6" s="5" t="s">
        <v>47</v>
      </c>
      <c r="F6" s="94" t="s">
        <v>24</v>
      </c>
      <c r="G6" s="175" t="s">
        <v>40</v>
      </c>
      <c r="H6" s="94" t="s">
        <v>53</v>
      </c>
      <c r="I6" s="94" t="s">
        <v>8</v>
      </c>
      <c r="J6" s="7" t="s">
        <v>14</v>
      </c>
      <c r="K6" s="7" t="s">
        <v>36</v>
      </c>
      <c r="L6" s="65" t="s">
        <v>4</v>
      </c>
      <c r="M6" s="7" t="s">
        <v>344</v>
      </c>
      <c r="N6" s="185" t="s">
        <v>28</v>
      </c>
      <c r="O6" s="185" t="s">
        <v>46</v>
      </c>
      <c r="P6" s="31" t="s">
        <v>23</v>
      </c>
    </row>
    <row r="7" spans="1:19" s="5" customFormat="1">
      <c r="A7" s="32" t="s">
        <v>50</v>
      </c>
      <c r="B7" s="14"/>
      <c r="C7" s="27"/>
      <c r="D7" s="27"/>
      <c r="E7" s="27"/>
      <c r="F7" s="94" t="s">
        <v>44</v>
      </c>
      <c r="G7" s="175" t="s">
        <v>48</v>
      </c>
      <c r="H7" s="94" t="s">
        <v>44</v>
      </c>
      <c r="I7" s="94" t="s">
        <v>44</v>
      </c>
      <c r="J7" s="7" t="s">
        <v>9</v>
      </c>
      <c r="K7" s="7" t="s">
        <v>18</v>
      </c>
      <c r="L7" s="65" t="s">
        <v>44</v>
      </c>
      <c r="M7" s="7" t="s">
        <v>18</v>
      </c>
      <c r="N7" s="185" t="s">
        <v>44</v>
      </c>
      <c r="O7" s="185" t="s">
        <v>44</v>
      </c>
      <c r="P7" s="31" t="s">
        <v>5</v>
      </c>
    </row>
    <row r="8" spans="1:19" s="5" customFormat="1" ht="17.25" customHeight="1" thickBot="1">
      <c r="A8" s="38" t="s">
        <v>17</v>
      </c>
      <c r="B8" s="39" t="s">
        <v>7</v>
      </c>
      <c r="C8" s="40"/>
      <c r="D8" s="40"/>
      <c r="E8" s="40"/>
      <c r="F8" s="95"/>
      <c r="G8" s="176"/>
      <c r="H8" s="95"/>
      <c r="I8" s="95"/>
      <c r="J8" s="41"/>
      <c r="K8" s="41"/>
      <c r="L8" s="67"/>
      <c r="M8" s="41"/>
      <c r="N8" s="95"/>
      <c r="O8" s="95"/>
      <c r="P8" s="308" t="s">
        <v>9</v>
      </c>
      <c r="Q8" s="14"/>
      <c r="R8" s="179"/>
      <c r="S8" s="14"/>
    </row>
    <row r="9" spans="1:19" s="14" customFormat="1">
      <c r="A9" s="14">
        <v>4541</v>
      </c>
      <c r="B9" s="45" t="s">
        <v>360</v>
      </c>
      <c r="C9" s="250" t="s">
        <v>297</v>
      </c>
      <c r="D9" s="250" t="s">
        <v>298</v>
      </c>
      <c r="E9" s="250" t="s">
        <v>299</v>
      </c>
      <c r="F9" s="91">
        <v>30000000</v>
      </c>
      <c r="G9" s="174">
        <v>1</v>
      </c>
      <c r="H9" s="91">
        <v>30000000</v>
      </c>
      <c r="I9" s="91">
        <v>30000000</v>
      </c>
      <c r="J9" s="12">
        <v>42371</v>
      </c>
      <c r="K9" s="12">
        <f t="shared" ref="K9:K14" si="0">J9+35</f>
        <v>42406</v>
      </c>
      <c r="L9" s="91">
        <v>0</v>
      </c>
      <c r="M9" s="12">
        <f t="shared" ref="M9:M14" si="1">J9+210</f>
        <v>42581</v>
      </c>
      <c r="N9" s="91">
        <v>0</v>
      </c>
      <c r="O9" s="91">
        <f>I9-N9</f>
        <v>30000000</v>
      </c>
      <c r="P9" s="12">
        <v>42404</v>
      </c>
    </row>
    <row r="10" spans="1:19" s="14" customFormat="1">
      <c r="A10" s="14">
        <v>4566</v>
      </c>
      <c r="B10" s="45" t="s">
        <v>86</v>
      </c>
      <c r="C10" s="250" t="s">
        <v>79</v>
      </c>
      <c r="D10" s="250" t="s">
        <v>163</v>
      </c>
      <c r="E10" s="250" t="s">
        <v>192</v>
      </c>
      <c r="F10" s="91">
        <v>400000000</v>
      </c>
      <c r="G10" s="91" t="s">
        <v>161</v>
      </c>
      <c r="H10" s="91">
        <v>400000000</v>
      </c>
      <c r="I10" s="91">
        <v>400000000</v>
      </c>
      <c r="J10" s="12">
        <v>42390</v>
      </c>
      <c r="K10" s="12">
        <f t="shared" si="0"/>
        <v>42425</v>
      </c>
      <c r="L10" s="91">
        <v>400000000</v>
      </c>
      <c r="M10" s="12">
        <f t="shared" si="1"/>
        <v>42600</v>
      </c>
      <c r="N10" s="91">
        <v>0</v>
      </c>
      <c r="O10" s="91">
        <f>I10-N10</f>
        <v>400000000</v>
      </c>
      <c r="P10" s="12">
        <v>42411</v>
      </c>
      <c r="Q10" s="14" t="s">
        <v>505</v>
      </c>
    </row>
    <row r="11" spans="1:19" s="14" customFormat="1">
      <c r="A11" s="14">
        <v>4611</v>
      </c>
      <c r="B11" s="45" t="s">
        <v>86</v>
      </c>
      <c r="C11" s="250" t="s">
        <v>79</v>
      </c>
      <c r="D11" s="250" t="s">
        <v>163</v>
      </c>
      <c r="E11" s="250" t="s">
        <v>192</v>
      </c>
      <c r="F11" s="91">
        <v>185000000</v>
      </c>
      <c r="G11" s="91" t="s">
        <v>161</v>
      </c>
      <c r="H11" s="91">
        <v>185000000</v>
      </c>
      <c r="I11" s="91">
        <v>185000000</v>
      </c>
      <c r="J11" s="12">
        <v>42497</v>
      </c>
      <c r="K11" s="12">
        <f t="shared" si="0"/>
        <v>42532</v>
      </c>
      <c r="L11" s="91">
        <v>185000000</v>
      </c>
      <c r="M11" s="12">
        <f t="shared" si="1"/>
        <v>42707</v>
      </c>
      <c r="N11" s="91">
        <v>0</v>
      </c>
      <c r="O11" s="91">
        <f>I11-N11</f>
        <v>185000000</v>
      </c>
      <c r="P11" s="12">
        <v>42559</v>
      </c>
      <c r="Q11" s="14" t="s">
        <v>357</v>
      </c>
    </row>
    <row r="12" spans="1:19" s="14" customFormat="1">
      <c r="A12" s="14">
        <v>4637</v>
      </c>
      <c r="B12" s="45" t="s">
        <v>86</v>
      </c>
      <c r="C12" s="250" t="s">
        <v>500</v>
      </c>
      <c r="D12" s="250" t="s">
        <v>508</v>
      </c>
      <c r="E12" s="250" t="s">
        <v>501</v>
      </c>
      <c r="F12" s="91">
        <v>14999246</v>
      </c>
      <c r="G12" s="91" t="s">
        <v>161</v>
      </c>
      <c r="H12" s="91">
        <v>14999246</v>
      </c>
      <c r="I12" s="91">
        <v>14999246</v>
      </c>
      <c r="J12" s="12">
        <v>42580</v>
      </c>
      <c r="K12" s="12">
        <f t="shared" si="0"/>
        <v>42615</v>
      </c>
      <c r="L12" s="91">
        <v>14999246</v>
      </c>
      <c r="M12" s="12">
        <f t="shared" si="1"/>
        <v>42790</v>
      </c>
      <c r="N12" s="91">
        <v>0</v>
      </c>
      <c r="O12" s="91">
        <f>I12-N12</f>
        <v>14999246</v>
      </c>
      <c r="P12" s="12">
        <v>42584</v>
      </c>
      <c r="Q12" s="14" t="s">
        <v>481</v>
      </c>
    </row>
    <row r="13" spans="1:19" s="14" customFormat="1">
      <c r="A13" s="14">
        <v>4638</v>
      </c>
      <c r="B13" s="45" t="s">
        <v>80</v>
      </c>
      <c r="C13" s="250" t="s">
        <v>184</v>
      </c>
      <c r="D13" s="250" t="s">
        <v>502</v>
      </c>
      <c r="E13" s="250" t="s">
        <v>192</v>
      </c>
      <c r="F13" s="91">
        <v>98187302</v>
      </c>
      <c r="G13" s="91" t="s">
        <v>161</v>
      </c>
      <c r="H13" s="91">
        <v>98187302</v>
      </c>
      <c r="I13" s="91">
        <v>98187302</v>
      </c>
      <c r="J13" s="12">
        <v>42584</v>
      </c>
      <c r="K13" s="12">
        <f t="shared" si="0"/>
        <v>42619</v>
      </c>
      <c r="L13" s="91">
        <v>98187302</v>
      </c>
      <c r="M13" s="12">
        <f t="shared" si="1"/>
        <v>42794</v>
      </c>
      <c r="N13" s="91"/>
      <c r="O13" s="91"/>
      <c r="P13" s="12"/>
    </row>
    <row r="14" spans="1:19" s="14" customFormat="1">
      <c r="A14" s="14">
        <v>4641</v>
      </c>
      <c r="B14" s="45" t="s">
        <v>80</v>
      </c>
      <c r="C14" s="250" t="s">
        <v>507</v>
      </c>
      <c r="D14" s="250" t="s">
        <v>506</v>
      </c>
      <c r="E14" s="250" t="s">
        <v>528</v>
      </c>
      <c r="F14" s="91">
        <v>25000000</v>
      </c>
      <c r="G14" s="91" t="s">
        <v>161</v>
      </c>
      <c r="H14" s="91">
        <v>25000000</v>
      </c>
      <c r="I14" s="91">
        <v>25000000</v>
      </c>
      <c r="J14" s="12">
        <v>42588</v>
      </c>
      <c r="K14" s="12">
        <f t="shared" si="0"/>
        <v>42623</v>
      </c>
      <c r="L14" s="91">
        <v>25000000</v>
      </c>
      <c r="M14" s="12">
        <f t="shared" si="1"/>
        <v>42798</v>
      </c>
      <c r="N14" s="91"/>
      <c r="O14" s="91"/>
      <c r="P14" s="12"/>
    </row>
    <row r="15" spans="1:19" s="14" customFormat="1">
      <c r="A15" s="14">
        <v>4642</v>
      </c>
      <c r="B15" s="45" t="s">
        <v>80</v>
      </c>
      <c r="C15" s="250" t="s">
        <v>565</v>
      </c>
      <c r="D15" s="250" t="s">
        <v>512</v>
      </c>
      <c r="E15" s="250" t="s">
        <v>192</v>
      </c>
      <c r="F15" s="91">
        <v>51000000</v>
      </c>
      <c r="G15" s="91" t="s">
        <v>161</v>
      </c>
      <c r="H15" s="91">
        <v>51000000</v>
      </c>
      <c r="I15" s="91">
        <v>51000000</v>
      </c>
      <c r="J15" s="12">
        <v>42588</v>
      </c>
      <c r="K15" s="12">
        <f t="shared" ref="K15:K18" si="2">J15+35</f>
        <v>42623</v>
      </c>
      <c r="L15" s="91">
        <v>51000000</v>
      </c>
      <c r="M15" s="12">
        <f t="shared" ref="M15:M18" si="3">J15+210</f>
        <v>42798</v>
      </c>
      <c r="N15" s="91"/>
      <c r="O15" s="91"/>
      <c r="P15" s="12"/>
    </row>
    <row r="16" spans="1:19" s="14" customFormat="1">
      <c r="A16" s="14">
        <v>4643</v>
      </c>
      <c r="B16" s="45" t="s">
        <v>80</v>
      </c>
      <c r="C16" s="250" t="s">
        <v>79</v>
      </c>
      <c r="D16" s="250" t="s">
        <v>163</v>
      </c>
      <c r="E16" s="250" t="s">
        <v>192</v>
      </c>
      <c r="F16" s="91">
        <v>115000000</v>
      </c>
      <c r="G16" s="91" t="s">
        <v>161</v>
      </c>
      <c r="H16" s="91">
        <v>115000000</v>
      </c>
      <c r="I16" s="91">
        <v>115000000</v>
      </c>
      <c r="J16" s="12">
        <v>42588</v>
      </c>
      <c r="K16" s="12">
        <f t="shared" si="2"/>
        <v>42623</v>
      </c>
      <c r="L16" s="91">
        <v>115000000</v>
      </c>
      <c r="M16" s="12">
        <f t="shared" si="3"/>
        <v>42798</v>
      </c>
      <c r="N16" s="91"/>
      <c r="O16" s="91"/>
      <c r="P16" s="12"/>
    </row>
    <row r="17" spans="1:16" s="14" customFormat="1">
      <c r="A17" s="14">
        <v>4644</v>
      </c>
      <c r="B17" s="45" t="s">
        <v>80</v>
      </c>
      <c r="C17" s="250" t="s">
        <v>79</v>
      </c>
      <c r="D17" s="250" t="s">
        <v>172</v>
      </c>
      <c r="E17" s="250" t="s">
        <v>192</v>
      </c>
      <c r="F17" s="91">
        <v>212356465</v>
      </c>
      <c r="G17" s="91" t="s">
        <v>161</v>
      </c>
      <c r="H17" s="91">
        <v>212356465</v>
      </c>
      <c r="I17" s="91">
        <v>212356465</v>
      </c>
      <c r="J17" s="12">
        <v>42588</v>
      </c>
      <c r="K17" s="12">
        <f t="shared" si="2"/>
        <v>42623</v>
      </c>
      <c r="L17" s="91">
        <v>212356465</v>
      </c>
      <c r="M17" s="12">
        <f t="shared" si="3"/>
        <v>42798</v>
      </c>
      <c r="N17" s="91"/>
      <c r="O17" s="91"/>
      <c r="P17" s="12"/>
    </row>
    <row r="18" spans="1:16" s="14" customFormat="1">
      <c r="A18" s="14">
        <v>4645</v>
      </c>
      <c r="B18" s="45" t="s">
        <v>80</v>
      </c>
      <c r="C18" s="250" t="s">
        <v>79</v>
      </c>
      <c r="D18" s="250" t="s">
        <v>172</v>
      </c>
      <c r="E18" s="250" t="s">
        <v>192</v>
      </c>
      <c r="F18" s="91">
        <v>556329254</v>
      </c>
      <c r="G18" s="91" t="s">
        <v>161</v>
      </c>
      <c r="H18" s="91">
        <v>480329254</v>
      </c>
      <c r="I18" s="91">
        <v>480329254</v>
      </c>
      <c r="J18" s="12">
        <v>42588</v>
      </c>
      <c r="K18" s="12">
        <f t="shared" si="2"/>
        <v>42623</v>
      </c>
      <c r="L18" s="91">
        <v>352028273</v>
      </c>
      <c r="M18" s="12">
        <f t="shared" si="3"/>
        <v>42798</v>
      </c>
      <c r="N18" s="91"/>
      <c r="O18" s="91">
        <f>H18-L18</f>
        <v>128300981</v>
      </c>
      <c r="P18" s="12">
        <v>42623</v>
      </c>
    </row>
    <row r="19" spans="1:16" s="14" customFormat="1">
      <c r="B19" s="45"/>
      <c r="C19" s="250"/>
      <c r="D19" s="37"/>
      <c r="E19" s="250"/>
      <c r="F19" s="91"/>
      <c r="G19" s="191"/>
      <c r="H19" s="91"/>
      <c r="I19" s="91"/>
      <c r="J19" s="12"/>
      <c r="K19" s="12"/>
      <c r="L19" s="91"/>
      <c r="M19" s="12"/>
      <c r="N19" s="91"/>
      <c r="O19" s="91"/>
      <c r="P19" s="11"/>
    </row>
    <row r="20" spans="1:16">
      <c r="A20" s="144"/>
      <c r="C20" s="70" t="s">
        <v>6</v>
      </c>
      <c r="D20" s="5"/>
      <c r="E20" s="54"/>
      <c r="F20" s="98">
        <f>SUM(F9:F19)</f>
        <v>1687872267</v>
      </c>
      <c r="H20" s="98">
        <f>SUM(H9:H19)</f>
        <v>1611872267</v>
      </c>
      <c r="I20" s="98">
        <f>SUM(I9:I19)</f>
        <v>1611872267</v>
      </c>
      <c r="L20" s="98">
        <f>SUM(L9:L19)</f>
        <v>1453571286</v>
      </c>
      <c r="M20" s="105"/>
      <c r="N20" s="98">
        <f>SUM(N9:N19)</f>
        <v>0</v>
      </c>
      <c r="O20" s="98">
        <f>SUM(O9:O19)</f>
        <v>758300227</v>
      </c>
      <c r="P20" s="10"/>
    </row>
    <row r="21" spans="1:16">
      <c r="A21" s="144"/>
      <c r="C21" s="70"/>
      <c r="D21" s="5"/>
      <c r="E21" s="5"/>
      <c r="L21" s="255"/>
    </row>
    <row r="22" spans="1:16" ht="11.25" customHeight="1">
      <c r="A22" s="144"/>
      <c r="C22" s="70" t="s">
        <v>45</v>
      </c>
      <c r="D22" s="5"/>
      <c r="E22" s="5"/>
      <c r="F22" s="96">
        <f>H20-I20</f>
        <v>0</v>
      </c>
      <c r="L22" s="255"/>
    </row>
    <row r="23" spans="1:16" ht="11.25" customHeight="1">
      <c r="A23" s="144"/>
      <c r="C23" s="70"/>
      <c r="D23" s="5"/>
      <c r="E23" s="5"/>
      <c r="F23" s="96"/>
      <c r="I23" s="328"/>
      <c r="L23" s="255"/>
      <c r="O23" s="372"/>
    </row>
    <row r="24" spans="1:16" ht="11.25" customHeight="1">
      <c r="A24" s="147"/>
      <c r="C24" s="45"/>
      <c r="G24" s="328"/>
      <c r="I24" s="328"/>
      <c r="L24" s="255"/>
    </row>
    <row r="25" spans="1:16" ht="11.25" customHeight="1">
      <c r="A25" s="144"/>
      <c r="C25" s="70"/>
      <c r="D25" s="5"/>
      <c r="E25" s="5"/>
      <c r="F25" s="96"/>
      <c r="I25" s="328"/>
      <c r="J25" s="370"/>
      <c r="K25" s="3"/>
      <c r="L25" s="255"/>
    </row>
    <row r="26" spans="1:16">
      <c r="C26" s="70" t="s">
        <v>10</v>
      </c>
      <c r="D26" s="5"/>
      <c r="E26" s="5"/>
      <c r="F26" s="254">
        <f>C1-I20+O20+E30</f>
        <v>128300981</v>
      </c>
      <c r="G26" s="131" t="s">
        <v>570</v>
      </c>
      <c r="H26" s="105"/>
      <c r="I26" s="527"/>
      <c r="J26" s="370"/>
      <c r="K26" s="3"/>
      <c r="L26" s="256"/>
      <c r="N26" s="91"/>
    </row>
    <row r="27" spans="1:16">
      <c r="C27" s="70"/>
      <c r="D27" s="5"/>
      <c r="E27" s="5"/>
      <c r="F27" s="188"/>
      <c r="I27" s="328"/>
      <c r="J27" s="370"/>
      <c r="K27" s="3"/>
      <c r="L27" s="256"/>
    </row>
    <row r="28" spans="1:16">
      <c r="C28" s="70"/>
      <c r="D28" s="4"/>
      <c r="E28" s="188"/>
      <c r="F28" s="188"/>
      <c r="G28" s="328"/>
      <c r="H28" s="227"/>
      <c r="I28" s="328"/>
      <c r="J28" s="370"/>
      <c r="K28" s="3"/>
      <c r="L28" s="255"/>
      <c r="N28" s="10"/>
    </row>
    <row r="29" spans="1:16">
      <c r="C29" s="70"/>
      <c r="F29" s="91"/>
      <c r="I29" s="328"/>
      <c r="J29" s="370"/>
      <c r="K29" s="3"/>
      <c r="L29" s="255"/>
    </row>
    <row r="30" spans="1:16">
      <c r="C30" s="250"/>
      <c r="D30" s="207"/>
      <c r="E30" s="340"/>
      <c r="F30" s="470"/>
      <c r="G30" s="337"/>
      <c r="I30" s="328"/>
      <c r="J30" s="3"/>
      <c r="L30" s="255"/>
    </row>
    <row r="31" spans="1:16">
      <c r="C31" s="70"/>
      <c r="D31" s="207"/>
      <c r="E31" s="340"/>
      <c r="F31" s="188"/>
      <c r="G31" s="341"/>
      <c r="I31" s="328"/>
      <c r="J31" s="3"/>
    </row>
    <row r="32" spans="1:16">
      <c r="E32" s="471"/>
      <c r="G32" s="305"/>
      <c r="I32" s="296"/>
      <c r="J32" s="3"/>
    </row>
    <row r="33" spans="4:15">
      <c r="F33" s="381"/>
      <c r="G33" s="342"/>
      <c r="I33" s="528"/>
    </row>
    <row r="34" spans="4:15">
      <c r="I34" s="528"/>
    </row>
    <row r="35" spans="4:15">
      <c r="G35" s="94"/>
      <c r="I35" s="528"/>
    </row>
    <row r="36" spans="4:15">
      <c r="F36" s="375"/>
      <c r="G36" s="346"/>
    </row>
    <row r="37" spans="4:15">
      <c r="F37" s="94"/>
    </row>
    <row r="38" spans="4:15">
      <c r="F38" s="94"/>
    </row>
    <row r="39" spans="4:15">
      <c r="F39" s="91"/>
    </row>
    <row r="40" spans="4:15">
      <c r="F40" s="94"/>
    </row>
    <row r="41" spans="4:15">
      <c r="F41" s="94"/>
    </row>
    <row r="42" spans="4:15">
      <c r="F42" s="94"/>
    </row>
    <row r="43" spans="4:15">
      <c r="D43" s="1" t="s">
        <v>7</v>
      </c>
      <c r="F43" s="94"/>
      <c r="G43" s="1"/>
      <c r="H43" s="1"/>
      <c r="I43" s="1"/>
      <c r="L43" s="1"/>
      <c r="N43" s="1"/>
      <c r="O43" s="1"/>
    </row>
    <row r="44" spans="4:15">
      <c r="F44" s="375"/>
    </row>
    <row r="45" spans="4:15">
      <c r="F45" s="375"/>
    </row>
  </sheetData>
  <phoneticPr fontId="0" type="noConversion"/>
  <pageMargins left="0.75" right="0.75" top="1" bottom="1" header="0.5" footer="0.5"/>
  <pageSetup scale="26" fitToHeight="2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V21"/>
  <sheetViews>
    <sheetView workbookViewId="0">
      <selection activeCell="C15" sqref="C15"/>
    </sheetView>
  </sheetViews>
  <sheetFormatPr defaultColWidth="10.85546875" defaultRowHeight="12"/>
  <cols>
    <col min="1" max="1" width="11.7109375" style="14" customWidth="1"/>
    <col min="2" max="2" width="11" style="14" bestFit="1" customWidth="1"/>
    <col min="3" max="3" width="38.28515625" style="14" bestFit="1" customWidth="1"/>
    <col min="4" max="4" width="37.28515625" style="14" bestFit="1" customWidth="1"/>
    <col min="5" max="5" width="12.140625" style="14" bestFit="1" customWidth="1"/>
    <col min="6" max="6" width="13.85546875" style="35" bestFit="1" customWidth="1"/>
    <col min="7" max="7" width="13.28515625" style="35" bestFit="1" customWidth="1"/>
    <col min="8" max="8" width="13.7109375" style="14" bestFit="1" customWidth="1"/>
    <col min="9" max="9" width="12" style="14" customWidth="1"/>
    <col min="10" max="10" width="13.28515625" style="35" bestFit="1" customWidth="1"/>
    <col min="11" max="11" width="12" style="14" customWidth="1"/>
    <col min="12" max="12" width="13.85546875" style="36" bestFit="1" customWidth="1"/>
    <col min="13" max="13" width="13.85546875" style="35" bestFit="1" customWidth="1"/>
    <col min="14" max="16384" width="10.85546875" style="14"/>
  </cols>
  <sheetData>
    <row r="1" spans="1:256">
      <c r="A1" s="17" t="s">
        <v>49</v>
      </c>
      <c r="B1" s="18"/>
      <c r="C1" s="19">
        <f>Totals!D8</f>
        <v>304456751</v>
      </c>
      <c r="D1" s="366"/>
      <c r="E1" s="367"/>
      <c r="F1" s="20"/>
      <c r="G1" s="20"/>
      <c r="H1" s="23"/>
      <c r="I1" s="23"/>
      <c r="J1" s="20"/>
      <c r="K1" s="23"/>
      <c r="L1" s="47"/>
      <c r="M1" s="20"/>
      <c r="N1" s="24"/>
    </row>
    <row r="2" spans="1:256">
      <c r="A2" s="26" t="s">
        <v>0</v>
      </c>
      <c r="C2" s="5"/>
      <c r="D2" s="5"/>
      <c r="E2" s="5"/>
      <c r="F2" s="28"/>
      <c r="G2" s="28"/>
      <c r="H2" s="12"/>
      <c r="I2" s="12"/>
      <c r="J2" s="28"/>
      <c r="K2" s="12"/>
      <c r="L2" s="49"/>
      <c r="M2" s="28"/>
      <c r="N2" s="31"/>
    </row>
    <row r="3" spans="1:256">
      <c r="A3" s="26"/>
      <c r="C3" s="5"/>
      <c r="D3" s="5"/>
      <c r="E3" s="5"/>
      <c r="F3" s="28"/>
      <c r="G3" s="28"/>
      <c r="H3" s="12"/>
      <c r="I3" s="12"/>
      <c r="J3" s="28"/>
      <c r="K3" s="12"/>
      <c r="L3" s="49"/>
      <c r="M3" s="28"/>
      <c r="N3" s="31"/>
    </row>
    <row r="4" spans="1:256">
      <c r="A4" s="32" t="s">
        <v>34</v>
      </c>
      <c r="B4" s="5" t="s">
        <v>39</v>
      </c>
      <c r="C4" s="5" t="s">
        <v>32</v>
      </c>
      <c r="D4" s="27" t="s">
        <v>51</v>
      </c>
      <c r="E4" s="27" t="s">
        <v>47</v>
      </c>
      <c r="F4" s="33" t="s">
        <v>24</v>
      </c>
      <c r="G4" s="33" t="s">
        <v>8</v>
      </c>
      <c r="H4" s="7" t="s">
        <v>14</v>
      </c>
      <c r="I4" s="7" t="s">
        <v>36</v>
      </c>
      <c r="J4" s="33" t="s">
        <v>4</v>
      </c>
      <c r="K4" s="7" t="s">
        <v>344</v>
      </c>
      <c r="L4" s="51" t="s">
        <v>28</v>
      </c>
      <c r="M4" s="33" t="s">
        <v>46</v>
      </c>
      <c r="N4" s="31" t="s">
        <v>29</v>
      </c>
    </row>
    <row r="5" spans="1:256">
      <c r="A5" s="32" t="s">
        <v>50</v>
      </c>
      <c r="D5" s="27"/>
      <c r="E5" s="27"/>
      <c r="F5" s="33" t="s">
        <v>44</v>
      </c>
      <c r="G5" s="33" t="s">
        <v>44</v>
      </c>
      <c r="H5" s="7" t="s">
        <v>9</v>
      </c>
      <c r="I5" s="7" t="s">
        <v>18</v>
      </c>
      <c r="J5" s="33" t="s">
        <v>44</v>
      </c>
      <c r="K5" s="7" t="s">
        <v>18</v>
      </c>
      <c r="L5" s="51" t="s">
        <v>44</v>
      </c>
      <c r="M5" s="33" t="s">
        <v>44</v>
      </c>
      <c r="N5" s="31" t="s">
        <v>5</v>
      </c>
    </row>
    <row r="6" spans="1:256" s="5" customFormat="1" ht="12.75" thickBot="1">
      <c r="A6" s="38" t="s">
        <v>17</v>
      </c>
      <c r="B6" s="39"/>
      <c r="C6" s="34"/>
      <c r="D6" s="40"/>
      <c r="E6" s="40"/>
      <c r="F6" s="66"/>
      <c r="G6" s="66"/>
      <c r="H6" s="41"/>
      <c r="I6" s="41"/>
      <c r="J6" s="66"/>
      <c r="K6" s="41"/>
      <c r="L6" s="53"/>
      <c r="M6" s="66"/>
      <c r="N6" s="42" t="s">
        <v>9</v>
      </c>
      <c r="O6" s="14"/>
      <c r="P6" s="14"/>
      <c r="Q6" s="14"/>
      <c r="R6" s="14"/>
      <c r="S6" s="14"/>
      <c r="T6" s="14"/>
    </row>
    <row r="7" spans="1:256">
      <c r="A7" s="14">
        <v>4559</v>
      </c>
      <c r="B7" s="171" t="s">
        <v>86</v>
      </c>
      <c r="C7" s="45" t="s">
        <v>322</v>
      </c>
      <c r="D7" s="250" t="s">
        <v>323</v>
      </c>
      <c r="E7" s="14" t="s">
        <v>192</v>
      </c>
      <c r="F7" s="85">
        <v>100000000</v>
      </c>
      <c r="G7" s="85">
        <v>100000000</v>
      </c>
      <c r="H7" s="3">
        <v>42381</v>
      </c>
      <c r="I7" s="3">
        <f>H7+35</f>
        <v>42416</v>
      </c>
      <c r="J7" s="85">
        <v>100000000</v>
      </c>
      <c r="K7" s="3">
        <f>H7+210</f>
        <v>42591</v>
      </c>
      <c r="L7" s="181">
        <v>69990168.900000006</v>
      </c>
      <c r="M7" s="73">
        <f>J7-L7</f>
        <v>30009831.099999994</v>
      </c>
      <c r="N7" s="12">
        <v>42556</v>
      </c>
      <c r="O7" s="14" t="s">
        <v>481</v>
      </c>
    </row>
    <row r="8" spans="1:256">
      <c r="A8" s="147"/>
      <c r="B8" s="171"/>
      <c r="C8" s="171"/>
      <c r="D8" s="171"/>
      <c r="E8" s="171"/>
      <c r="F8" s="85"/>
      <c r="G8" s="85"/>
      <c r="H8" s="3"/>
      <c r="I8" s="3"/>
      <c r="J8" s="85"/>
      <c r="K8" s="3"/>
      <c r="L8" s="85"/>
      <c r="M8" s="252"/>
      <c r="N8" s="12"/>
    </row>
    <row r="9" spans="1:256" ht="12.75" thickBot="1">
      <c r="C9" s="5" t="s">
        <v>6</v>
      </c>
      <c r="D9" s="5"/>
      <c r="E9" s="5"/>
      <c r="F9" s="87">
        <f>SUM(F7:F8)</f>
        <v>100000000</v>
      </c>
      <c r="G9" s="87">
        <f>SUM(G7:G8)</f>
        <v>100000000</v>
      </c>
      <c r="H9" s="12"/>
      <c r="I9" s="12"/>
      <c r="J9" s="87">
        <f>SUM(J7:J8)</f>
        <v>100000000</v>
      </c>
      <c r="K9" s="30"/>
      <c r="L9" s="88">
        <f>SUM(L7:L8)</f>
        <v>69990168.900000006</v>
      </c>
      <c r="M9" s="87">
        <f>SUM(M7:M8)</f>
        <v>30009831.099999994</v>
      </c>
      <c r="N9" s="7"/>
    </row>
    <row r="10" spans="1:256" s="25" customFormat="1">
      <c r="A10" s="14"/>
      <c r="B10" s="14"/>
      <c r="C10" s="5"/>
      <c r="D10" s="5"/>
      <c r="E10" s="5"/>
      <c r="F10" s="6"/>
      <c r="G10" s="35"/>
      <c r="H10" s="12"/>
      <c r="I10" s="12"/>
      <c r="J10" s="35"/>
      <c r="K10" s="12"/>
      <c r="L10" s="36"/>
      <c r="M10" s="35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</row>
    <row r="11" spans="1:256">
      <c r="C11" s="5" t="s">
        <v>45</v>
      </c>
      <c r="D11" s="5"/>
      <c r="E11" s="5"/>
      <c r="F11" s="35">
        <f>SUM(F9-G9)</f>
        <v>0</v>
      </c>
      <c r="H11" s="12"/>
      <c r="I11" s="12"/>
      <c r="K11" s="12"/>
    </row>
    <row r="12" spans="1:256" s="5" customFormat="1">
      <c r="A12" s="14"/>
      <c r="B12" s="14"/>
      <c r="F12" s="35"/>
      <c r="G12" s="35"/>
      <c r="H12" s="12"/>
      <c r="I12" s="12"/>
      <c r="J12" s="35"/>
      <c r="K12" s="12"/>
      <c r="L12" s="36"/>
      <c r="M12" s="35"/>
      <c r="N12" s="14"/>
      <c r="O12" s="14"/>
      <c r="P12" s="14"/>
      <c r="Q12" s="14"/>
      <c r="R12" s="14"/>
      <c r="S12" s="14"/>
      <c r="T12" s="14"/>
    </row>
    <row r="13" spans="1:256" s="5" customFormat="1">
      <c r="A13" s="14"/>
      <c r="B13" s="14"/>
      <c r="C13" s="70" t="s">
        <v>10</v>
      </c>
      <c r="F13" s="356">
        <f>C1-G9+M9+E16</f>
        <v>234466582.09999999</v>
      </c>
      <c r="G13" s="131" t="s">
        <v>570</v>
      </c>
      <c r="H13" s="12"/>
      <c r="I13" s="12"/>
      <c r="J13" s="35"/>
      <c r="K13" s="37"/>
      <c r="L13" s="36"/>
      <c r="M13" s="35"/>
      <c r="N13" s="14"/>
      <c r="O13" s="14"/>
      <c r="P13" s="14"/>
      <c r="Q13" s="14"/>
      <c r="R13" s="14"/>
      <c r="S13" s="14"/>
      <c r="T13" s="14"/>
    </row>
    <row r="14" spans="1:256">
      <c r="M14" s="249"/>
    </row>
    <row r="15" spans="1:256">
      <c r="C15" s="5"/>
      <c r="D15" s="5"/>
      <c r="E15" s="5"/>
      <c r="G15" s="566"/>
      <c r="H15" s="566"/>
    </row>
    <row r="16" spans="1:256">
      <c r="E16" s="263"/>
      <c r="F16" s="240"/>
    </row>
    <row r="17" spans="3:6">
      <c r="C17" s="5"/>
      <c r="D17" s="5"/>
      <c r="E17" s="5"/>
      <c r="F17" s="36"/>
    </row>
    <row r="18" spans="3:6">
      <c r="E18" s="133"/>
    </row>
    <row r="19" spans="3:6">
      <c r="E19" s="133"/>
      <c r="F19" s="210"/>
    </row>
    <row r="20" spans="3:6">
      <c r="E20" s="181"/>
      <c r="F20" s="209"/>
    </row>
    <row r="21" spans="3:6">
      <c r="E21" s="181"/>
      <c r="F21" s="209"/>
    </row>
  </sheetData>
  <mergeCells count="1">
    <mergeCell ref="G15:H15"/>
  </mergeCells>
  <phoneticPr fontId="0" type="noConversion"/>
  <pageMargins left="0.75" right="0.75" top="1" bottom="1" header="0.5" footer="0.5"/>
  <pageSetup scale="59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T28"/>
  <sheetViews>
    <sheetView zoomScaleNormal="100" workbookViewId="0">
      <pane ySplit="6" topLeftCell="A7" activePane="bottomLeft" state="frozen"/>
      <selection activeCell="K30" sqref="I28:K30"/>
      <selection pane="bottomLeft" activeCell="L11" sqref="L11"/>
    </sheetView>
  </sheetViews>
  <sheetFormatPr defaultColWidth="10.85546875" defaultRowHeight="12"/>
  <cols>
    <col min="1" max="1" width="8.28515625" style="147" customWidth="1"/>
    <col min="2" max="2" width="12" style="147" bestFit="1" customWidth="1"/>
    <col min="3" max="3" width="17.85546875" style="147" bestFit="1" customWidth="1"/>
    <col min="4" max="4" width="31.85546875" style="147" bestFit="1" customWidth="1"/>
    <col min="5" max="5" width="10.28515625" style="147" bestFit="1" customWidth="1"/>
    <col min="6" max="6" width="12.85546875" style="162" bestFit="1" customWidth="1"/>
    <col min="7" max="7" width="12" style="162" bestFit="1" customWidth="1"/>
    <col min="8" max="8" width="13.7109375" style="147" customWidth="1"/>
    <col min="9" max="9" width="9.5703125" style="147" bestFit="1" customWidth="1"/>
    <col min="10" max="10" width="11.140625" style="162" bestFit="1" customWidth="1"/>
    <col min="11" max="11" width="10.85546875" style="147" bestFit="1" customWidth="1"/>
    <col min="12" max="12" width="13" style="162" bestFit="1" customWidth="1"/>
    <col min="13" max="13" width="12.42578125" style="162" bestFit="1" customWidth="1"/>
    <col min="14" max="14" width="9.42578125" style="147" bestFit="1" customWidth="1"/>
    <col min="15" max="16384" width="10.85546875" style="147"/>
  </cols>
  <sheetData>
    <row r="1" spans="1:20" s="142" customFormat="1">
      <c r="A1" s="138" t="s">
        <v>25</v>
      </c>
      <c r="B1" s="139"/>
      <c r="C1" s="140">
        <f>Totals!E8</f>
        <v>60891350</v>
      </c>
      <c r="D1" s="140"/>
      <c r="E1" s="140"/>
      <c r="F1" s="163"/>
      <c r="G1" s="163"/>
      <c r="H1" s="143"/>
      <c r="I1" s="164"/>
      <c r="J1" s="165"/>
      <c r="K1" s="143"/>
      <c r="L1" s="163"/>
      <c r="M1" s="163"/>
      <c r="N1" s="24"/>
      <c r="O1" s="147"/>
      <c r="P1" s="147"/>
      <c r="Q1" s="147"/>
      <c r="R1" s="147"/>
      <c r="S1" s="147"/>
      <c r="T1" s="147"/>
    </row>
    <row r="2" spans="1:20">
      <c r="A2" s="145" t="s">
        <v>38</v>
      </c>
      <c r="B2" s="144"/>
      <c r="C2" s="141"/>
      <c r="D2" s="141"/>
      <c r="E2" s="141"/>
      <c r="F2" s="146"/>
      <c r="G2" s="146"/>
      <c r="H2" s="148"/>
      <c r="I2" s="166"/>
      <c r="J2" s="167"/>
      <c r="K2" s="148"/>
      <c r="L2" s="146"/>
      <c r="M2" s="146"/>
      <c r="N2" s="149"/>
    </row>
    <row r="3" spans="1:20">
      <c r="A3" s="145"/>
      <c r="B3" s="144"/>
      <c r="C3" s="141"/>
      <c r="D3" s="141"/>
      <c r="E3" s="141"/>
      <c r="F3" s="146"/>
      <c r="G3" s="146"/>
      <c r="H3" s="148"/>
      <c r="I3" s="148"/>
      <c r="J3" s="146"/>
      <c r="K3" s="148"/>
      <c r="L3" s="146"/>
      <c r="M3" s="146"/>
      <c r="N3" s="149"/>
    </row>
    <row r="4" spans="1:20" s="144" customFormat="1">
      <c r="A4" s="150" t="s">
        <v>34</v>
      </c>
      <c r="B4" s="144" t="s">
        <v>39</v>
      </c>
      <c r="F4" s="151" t="s">
        <v>24</v>
      </c>
      <c r="G4" s="151" t="s">
        <v>8</v>
      </c>
      <c r="H4" s="152" t="s">
        <v>14</v>
      </c>
      <c r="I4" s="152" t="s">
        <v>36</v>
      </c>
      <c r="J4" s="151" t="s">
        <v>4</v>
      </c>
      <c r="K4" s="152" t="s">
        <v>345</v>
      </c>
      <c r="L4" s="151" t="s">
        <v>28</v>
      </c>
      <c r="M4" s="151" t="s">
        <v>46</v>
      </c>
      <c r="N4" s="149" t="s">
        <v>23</v>
      </c>
      <c r="O4" s="147"/>
      <c r="P4" s="147"/>
      <c r="Q4" s="147"/>
      <c r="R4" s="147"/>
      <c r="S4" s="147"/>
      <c r="T4" s="147"/>
    </row>
    <row r="5" spans="1:20" s="144" customFormat="1">
      <c r="A5" s="150" t="s">
        <v>50</v>
      </c>
      <c r="B5" s="147"/>
      <c r="D5" s="141"/>
      <c r="E5" s="141"/>
      <c r="F5" s="151" t="s">
        <v>44</v>
      </c>
      <c r="G5" s="151" t="s">
        <v>44</v>
      </c>
      <c r="H5" s="152" t="s">
        <v>9</v>
      </c>
      <c r="I5" s="152" t="s">
        <v>18</v>
      </c>
      <c r="J5" s="151" t="s">
        <v>44</v>
      </c>
      <c r="K5" s="152" t="s">
        <v>18</v>
      </c>
      <c r="L5" s="151" t="s">
        <v>44</v>
      </c>
      <c r="M5" s="151" t="s">
        <v>44</v>
      </c>
      <c r="N5" s="149" t="s">
        <v>5</v>
      </c>
      <c r="O5" s="147"/>
      <c r="P5" s="147"/>
      <c r="Q5" s="147"/>
      <c r="R5" s="147"/>
      <c r="S5" s="147"/>
      <c r="T5" s="147"/>
    </row>
    <row r="6" spans="1:20" s="154" customFormat="1" ht="12.75" thickBot="1">
      <c r="A6" s="153" t="s">
        <v>17</v>
      </c>
      <c r="B6" s="168"/>
      <c r="C6" s="154" t="s">
        <v>32</v>
      </c>
      <c r="D6" s="169" t="s">
        <v>51</v>
      </c>
      <c r="E6" s="169" t="s">
        <v>47</v>
      </c>
      <c r="F6" s="155"/>
      <c r="G6" s="155"/>
      <c r="H6" s="156"/>
      <c r="I6" s="156"/>
      <c r="J6" s="155"/>
      <c r="K6" s="156"/>
      <c r="L6" s="155"/>
      <c r="M6" s="155"/>
      <c r="N6" s="157" t="s">
        <v>9</v>
      </c>
      <c r="O6" s="147"/>
      <c r="P6" s="147"/>
      <c r="Q6" s="147"/>
      <c r="R6" s="147"/>
      <c r="S6" s="147"/>
      <c r="T6" s="147"/>
    </row>
    <row r="7" spans="1:20" customFormat="1">
      <c r="A7" s="45"/>
      <c r="B7" s="360"/>
      <c r="C7" s="45"/>
      <c r="D7" s="250"/>
      <c r="E7" s="250"/>
      <c r="F7" s="359"/>
      <c r="G7" s="359"/>
      <c r="H7" s="264"/>
      <c r="I7" s="264"/>
      <c r="J7" s="79"/>
      <c r="K7" s="264"/>
      <c r="L7" s="359"/>
      <c r="M7" s="359"/>
      <c r="N7" s="361"/>
    </row>
    <row r="8" spans="1:20" customFormat="1">
      <c r="A8" s="45"/>
      <c r="B8" s="360"/>
      <c r="C8" s="45"/>
      <c r="D8" s="250"/>
      <c r="E8" s="250"/>
      <c r="F8" s="359"/>
      <c r="G8" s="359"/>
      <c r="H8" s="264"/>
      <c r="I8" s="264"/>
      <c r="J8" s="359"/>
      <c r="K8" s="264"/>
      <c r="L8" s="359"/>
      <c r="M8" s="359"/>
      <c r="N8" s="361"/>
    </row>
    <row r="9" spans="1:20">
      <c r="C9" s="171"/>
      <c r="F9" s="147"/>
      <c r="G9" s="147"/>
      <c r="H9" s="148"/>
      <c r="I9" s="148"/>
      <c r="J9" s="146"/>
      <c r="K9" s="264"/>
      <c r="L9" s="146"/>
      <c r="M9" s="146"/>
      <c r="N9" s="148"/>
    </row>
    <row r="10" spans="1:20" s="269" customFormat="1">
      <c r="A10" s="5"/>
      <c r="B10" s="205"/>
      <c r="C10" s="4"/>
      <c r="D10" s="4"/>
      <c r="E10" s="4"/>
      <c r="F10" s="188"/>
      <c r="G10" s="188"/>
      <c r="H10" s="152"/>
      <c r="I10" s="266"/>
      <c r="J10" s="188"/>
      <c r="K10" s="266"/>
      <c r="L10" s="267"/>
      <c r="M10" s="268"/>
      <c r="N10" s="152"/>
    </row>
    <row r="11" spans="1:20">
      <c r="C11" s="144" t="s">
        <v>6</v>
      </c>
      <c r="D11" s="144"/>
      <c r="E11" s="144"/>
      <c r="F11" s="357">
        <f>SUM(F7:F10)</f>
        <v>0</v>
      </c>
      <c r="G11" s="161">
        <f>SUM(G7:G10)</f>
        <v>0</v>
      </c>
      <c r="H11" s="148"/>
      <c r="I11" s="148"/>
      <c r="J11" s="161">
        <f>SUM(J7:J10)</f>
        <v>0</v>
      </c>
      <c r="K11" s="170"/>
      <c r="L11" s="161">
        <f>SUM(L7:L10)</f>
        <v>0</v>
      </c>
      <c r="M11" s="161">
        <f>SUM(M7:M10)</f>
        <v>0</v>
      </c>
      <c r="N11" s="152"/>
    </row>
    <row r="12" spans="1:20">
      <c r="C12" s="144"/>
      <c r="D12" s="144"/>
      <c r="E12" s="144"/>
      <c r="F12" s="158"/>
      <c r="G12" s="160"/>
      <c r="H12" s="148"/>
      <c r="I12" s="148"/>
      <c r="J12" s="146"/>
      <c r="K12" s="170"/>
      <c r="L12" s="146"/>
      <c r="M12" s="146"/>
      <c r="N12" s="152"/>
    </row>
    <row r="13" spans="1:20">
      <c r="C13" s="144" t="s">
        <v>45</v>
      </c>
      <c r="D13" s="144"/>
      <c r="E13" s="144"/>
      <c r="F13" s="160">
        <f>F11-G11</f>
        <v>0</v>
      </c>
      <c r="G13" s="160"/>
      <c r="H13" s="148"/>
      <c r="I13" s="148"/>
      <c r="K13" s="148"/>
    </row>
    <row r="14" spans="1:20">
      <c r="C14" s="144"/>
      <c r="D14" s="144"/>
      <c r="E14" s="144"/>
      <c r="F14" s="160"/>
      <c r="G14" s="160"/>
      <c r="H14" s="148"/>
      <c r="I14" s="148"/>
      <c r="K14" s="148"/>
    </row>
    <row r="15" spans="1:20" s="144" customFormat="1">
      <c r="A15" s="147"/>
      <c r="B15" s="147"/>
      <c r="C15" s="70" t="s">
        <v>10</v>
      </c>
      <c r="F15" s="357">
        <f>+C1-G11+M11</f>
        <v>60891350</v>
      </c>
      <c r="G15" s="131" t="s">
        <v>570</v>
      </c>
      <c r="H15" s="148"/>
      <c r="I15" s="148"/>
      <c r="J15" s="162"/>
      <c r="K15" s="167"/>
      <c r="L15" s="162"/>
      <c r="M15" s="162"/>
      <c r="N15" s="147"/>
      <c r="O15" s="147"/>
      <c r="P15" s="147"/>
      <c r="Q15" s="147"/>
      <c r="R15" s="147"/>
      <c r="S15" s="147"/>
      <c r="T15" s="147"/>
    </row>
    <row r="16" spans="1:20">
      <c r="A16" s="171"/>
      <c r="H16" s="148"/>
      <c r="I16" s="148"/>
      <c r="K16" s="148"/>
      <c r="N16" s="152"/>
      <c r="O16" s="144"/>
      <c r="P16" s="144"/>
      <c r="Q16" s="144"/>
      <c r="R16" s="144"/>
      <c r="S16" s="144"/>
      <c r="T16" s="144"/>
    </row>
    <row r="17" spans="3:9">
      <c r="C17" s="144"/>
      <c r="D17" s="144"/>
      <c r="E17" s="144"/>
      <c r="F17" s="146"/>
      <c r="G17" s="228"/>
      <c r="H17" s="228"/>
    </row>
    <row r="19" spans="3:9">
      <c r="C19" s="144"/>
      <c r="D19" s="144"/>
      <c r="E19" s="144"/>
      <c r="F19" s="172"/>
    </row>
    <row r="23" spans="3:9">
      <c r="F23" s="241"/>
    </row>
    <row r="28" spans="3:9">
      <c r="I28" s="147" t="s">
        <v>7</v>
      </c>
    </row>
  </sheetData>
  <phoneticPr fontId="0" type="noConversion"/>
  <pageMargins left="0.75" right="0.75" top="1" bottom="1" header="0.5" footer="0.5"/>
  <pageSetup scale="73" fitToHeight="0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35"/>
  <sheetViews>
    <sheetView workbookViewId="0">
      <selection activeCell="A14" sqref="A14:XFD14"/>
    </sheetView>
  </sheetViews>
  <sheetFormatPr defaultColWidth="10.85546875" defaultRowHeight="12"/>
  <cols>
    <col min="1" max="1" width="9.42578125" style="14" customWidth="1"/>
    <col min="2" max="2" width="12.140625" style="14" bestFit="1" customWidth="1"/>
    <col min="3" max="3" width="11.42578125" style="14" bestFit="1" customWidth="1"/>
    <col min="4" max="4" width="51" style="14" bestFit="1" customWidth="1"/>
    <col min="5" max="5" width="15" style="14" bestFit="1" customWidth="1"/>
    <col min="6" max="6" width="12.85546875" style="68" customWidth="1"/>
    <col min="7" max="7" width="13.5703125" style="35" customWidth="1"/>
    <col min="8" max="8" width="14.28515625" style="14" customWidth="1"/>
    <col min="9" max="9" width="12" style="14" bestFit="1" customWidth="1"/>
    <col min="10" max="10" width="12.5703125" style="35" bestFit="1" customWidth="1"/>
    <col min="11" max="11" width="10.140625" style="14" bestFit="1" customWidth="1"/>
    <col min="12" max="12" width="14.140625" style="13" customWidth="1"/>
    <col min="13" max="13" width="15.140625" style="13" bestFit="1" customWidth="1"/>
    <col min="14" max="14" width="10.140625" style="14" customWidth="1"/>
    <col min="15" max="15" width="7.85546875" style="14" bestFit="1" customWidth="1"/>
    <col min="16" max="16" width="11.7109375" style="14" bestFit="1" customWidth="1"/>
    <col min="17" max="16384" width="10.85546875" style="14"/>
  </cols>
  <sheetData>
    <row r="1" spans="1:20" s="25" customFormat="1">
      <c r="A1" s="17" t="s">
        <v>12</v>
      </c>
      <c r="B1" s="18"/>
      <c r="C1" s="19">
        <f>Totals!F8</f>
        <v>79919897</v>
      </c>
      <c r="D1" s="19"/>
      <c r="E1" s="19"/>
      <c r="F1" s="63"/>
      <c r="G1" s="20"/>
      <c r="H1" s="23"/>
      <c r="I1" s="23"/>
      <c r="J1" s="20"/>
      <c r="K1" s="23"/>
      <c r="L1" s="46"/>
      <c r="M1" s="46"/>
      <c r="N1" s="24"/>
      <c r="O1" s="5"/>
      <c r="P1" s="5"/>
      <c r="Q1" s="5"/>
      <c r="R1" s="5"/>
      <c r="S1" s="5"/>
      <c r="T1" s="5"/>
    </row>
    <row r="2" spans="1:20">
      <c r="A2" s="26" t="s">
        <v>1</v>
      </c>
      <c r="B2" s="5"/>
      <c r="C2" s="27"/>
      <c r="D2" s="27"/>
      <c r="E2" s="27"/>
      <c r="F2" s="64"/>
      <c r="G2" s="28"/>
      <c r="H2" s="12"/>
      <c r="I2" s="12"/>
      <c r="J2" s="28"/>
      <c r="K2" s="12"/>
      <c r="L2" s="50"/>
      <c r="M2" s="50"/>
      <c r="N2" s="31"/>
      <c r="O2" s="5"/>
      <c r="P2" s="5"/>
      <c r="Q2" s="5"/>
      <c r="R2" s="5"/>
      <c r="S2" s="5"/>
      <c r="T2" s="5"/>
    </row>
    <row r="3" spans="1:20">
      <c r="A3" s="32"/>
      <c r="C3" s="5"/>
      <c r="D3" s="5"/>
      <c r="E3" s="5"/>
      <c r="F3" s="64"/>
      <c r="G3" s="28"/>
      <c r="H3" s="12"/>
      <c r="I3" s="12"/>
      <c r="J3" s="28"/>
      <c r="K3" s="12"/>
      <c r="L3" s="48"/>
      <c r="M3" s="48"/>
      <c r="N3" s="31"/>
      <c r="O3" s="5"/>
      <c r="P3" s="5"/>
      <c r="Q3" s="5"/>
      <c r="R3" s="5"/>
      <c r="S3" s="5"/>
      <c r="T3" s="5"/>
    </row>
    <row r="4" spans="1:20" s="5" customFormat="1">
      <c r="A4" s="32" t="s">
        <v>34</v>
      </c>
      <c r="B4" s="54" t="s">
        <v>39</v>
      </c>
      <c r="C4" s="5" t="s">
        <v>32</v>
      </c>
      <c r="D4" s="5" t="s">
        <v>51</v>
      </c>
      <c r="E4" s="5" t="s">
        <v>47</v>
      </c>
      <c r="F4" s="65" t="s">
        <v>24</v>
      </c>
      <c r="G4" s="33" t="s">
        <v>56</v>
      </c>
      <c r="H4" s="7" t="s">
        <v>14</v>
      </c>
      <c r="I4" s="7" t="s">
        <v>36</v>
      </c>
      <c r="J4" s="33" t="s">
        <v>4</v>
      </c>
      <c r="K4" s="7" t="s">
        <v>346</v>
      </c>
      <c r="L4" s="50" t="s">
        <v>28</v>
      </c>
      <c r="M4" s="50" t="s">
        <v>46</v>
      </c>
      <c r="N4" s="31" t="s">
        <v>23</v>
      </c>
    </row>
    <row r="5" spans="1:20" s="5" customFormat="1">
      <c r="A5" s="32" t="s">
        <v>50</v>
      </c>
      <c r="B5" s="14"/>
      <c r="C5" s="27"/>
      <c r="D5" s="27"/>
      <c r="E5" s="27"/>
      <c r="F5" s="65" t="s">
        <v>44</v>
      </c>
      <c r="G5" s="33" t="s">
        <v>57</v>
      </c>
      <c r="H5" s="7" t="s">
        <v>9</v>
      </c>
      <c r="I5" s="7" t="s">
        <v>18</v>
      </c>
      <c r="J5" s="33" t="s">
        <v>44</v>
      </c>
      <c r="K5" s="7" t="s">
        <v>18</v>
      </c>
      <c r="L5" s="50" t="s">
        <v>44</v>
      </c>
      <c r="M5" s="50" t="s">
        <v>44</v>
      </c>
      <c r="N5" s="31" t="s">
        <v>5</v>
      </c>
    </row>
    <row r="6" spans="1:20" s="5" customFormat="1" ht="12.75" thickBot="1">
      <c r="A6" s="38" t="s">
        <v>33</v>
      </c>
      <c r="B6" s="34"/>
      <c r="C6" s="34"/>
      <c r="D6" s="34"/>
      <c r="E6" s="34"/>
      <c r="F6" s="67"/>
      <c r="G6" s="66"/>
      <c r="H6" s="41"/>
      <c r="I6" s="41"/>
      <c r="J6" s="66"/>
      <c r="K6" s="41"/>
      <c r="L6" s="52"/>
      <c r="M6" s="52"/>
      <c r="N6" s="42" t="s">
        <v>9</v>
      </c>
    </row>
    <row r="7" spans="1:20">
      <c r="A7" s="14">
        <v>4561</v>
      </c>
      <c r="B7" s="45" t="s">
        <v>86</v>
      </c>
      <c r="C7" s="1" t="s">
        <v>184</v>
      </c>
      <c r="D7" s="45" t="s">
        <v>362</v>
      </c>
      <c r="E7" s="45" t="s">
        <v>234</v>
      </c>
      <c r="F7" s="81">
        <v>39120000</v>
      </c>
      <c r="G7" s="81">
        <v>39120000</v>
      </c>
      <c r="H7" s="12">
        <v>42381</v>
      </c>
      <c r="I7" s="264">
        <f t="shared" ref="I7:I16" si="0">H7+35</f>
        <v>42416</v>
      </c>
      <c r="J7" s="81">
        <v>39120000</v>
      </c>
      <c r="K7" s="264">
        <f t="shared" ref="K7:K16" si="1">H7+180</f>
        <v>42561</v>
      </c>
      <c r="L7" s="81">
        <v>0</v>
      </c>
      <c r="M7" s="81">
        <v>39120000</v>
      </c>
      <c r="N7" s="12">
        <v>42550</v>
      </c>
      <c r="O7" s="14" t="s">
        <v>357</v>
      </c>
      <c r="Q7" s="57"/>
    </row>
    <row r="8" spans="1:20">
      <c r="A8" s="14">
        <v>4564</v>
      </c>
      <c r="B8" s="45" t="s">
        <v>86</v>
      </c>
      <c r="C8" s="250" t="s">
        <v>184</v>
      </c>
      <c r="D8" s="250" t="s">
        <v>264</v>
      </c>
      <c r="E8" s="224" t="s">
        <v>211</v>
      </c>
      <c r="F8" s="365">
        <v>40000000</v>
      </c>
      <c r="G8" s="365">
        <v>40000000</v>
      </c>
      <c r="H8" s="12">
        <v>42390</v>
      </c>
      <c r="I8" s="264">
        <f t="shared" si="0"/>
        <v>42425</v>
      </c>
      <c r="J8" s="365">
        <v>40000000</v>
      </c>
      <c r="K8" s="264">
        <f t="shared" si="1"/>
        <v>42570</v>
      </c>
      <c r="L8" s="81">
        <v>0</v>
      </c>
      <c r="M8" s="81">
        <f>J8-L8</f>
        <v>40000000</v>
      </c>
      <c r="N8" s="12">
        <v>42532</v>
      </c>
      <c r="O8" s="14" t="s">
        <v>481</v>
      </c>
      <c r="P8" s="14" t="s">
        <v>357</v>
      </c>
      <c r="Q8" s="57"/>
    </row>
    <row r="9" spans="1:20">
      <c r="A9" s="14">
        <v>4597</v>
      </c>
      <c r="B9" s="45" t="s">
        <v>360</v>
      </c>
      <c r="C9" s="250" t="s">
        <v>184</v>
      </c>
      <c r="D9" s="250" t="s">
        <v>415</v>
      </c>
      <c r="E9" s="224" t="s">
        <v>416</v>
      </c>
      <c r="F9" s="365">
        <v>2129000</v>
      </c>
      <c r="G9" s="365">
        <v>2129000</v>
      </c>
      <c r="H9" s="12">
        <v>42452</v>
      </c>
      <c r="I9" s="264">
        <f t="shared" si="0"/>
        <v>42487</v>
      </c>
      <c r="J9" s="365">
        <v>2129000</v>
      </c>
      <c r="K9" s="264">
        <f t="shared" si="1"/>
        <v>42632</v>
      </c>
      <c r="L9" s="81"/>
      <c r="M9" s="81">
        <f>J9-L9</f>
        <v>2129000</v>
      </c>
      <c r="N9" s="12">
        <v>42591</v>
      </c>
      <c r="Q9" s="57"/>
    </row>
    <row r="10" spans="1:20">
      <c r="A10" s="14">
        <v>4598</v>
      </c>
      <c r="B10" s="45" t="s">
        <v>360</v>
      </c>
      <c r="C10" s="250" t="s">
        <v>184</v>
      </c>
      <c r="D10" s="45" t="s">
        <v>417</v>
      </c>
      <c r="E10" s="45" t="s">
        <v>418</v>
      </c>
      <c r="F10" s="263">
        <v>3371000</v>
      </c>
      <c r="G10" s="263">
        <v>3371000</v>
      </c>
      <c r="H10" s="12">
        <v>42452</v>
      </c>
      <c r="I10" s="264">
        <f t="shared" si="0"/>
        <v>42487</v>
      </c>
      <c r="J10" s="263">
        <v>3371000</v>
      </c>
      <c r="K10" s="264">
        <f t="shared" si="1"/>
        <v>42632</v>
      </c>
      <c r="L10" s="81"/>
      <c r="M10" s="81">
        <f>J10-L10</f>
        <v>3371000</v>
      </c>
      <c r="N10" s="12">
        <v>42591</v>
      </c>
      <c r="Q10" s="57"/>
    </row>
    <row r="11" spans="1:20">
      <c r="A11" s="14">
        <v>4615</v>
      </c>
      <c r="B11" s="45" t="s">
        <v>86</v>
      </c>
      <c r="C11" s="250" t="s">
        <v>184</v>
      </c>
      <c r="D11" s="45" t="s">
        <v>463</v>
      </c>
      <c r="E11" s="45" t="s">
        <v>103</v>
      </c>
      <c r="F11" s="263">
        <v>15000000</v>
      </c>
      <c r="G11" s="263">
        <v>15000000</v>
      </c>
      <c r="H11" s="12">
        <v>42516</v>
      </c>
      <c r="I11" s="264">
        <f t="shared" si="0"/>
        <v>42551</v>
      </c>
      <c r="J11" s="263">
        <v>15000000</v>
      </c>
      <c r="K11" s="264">
        <f t="shared" si="1"/>
        <v>42696</v>
      </c>
      <c r="L11" s="81">
        <v>9872000</v>
      </c>
      <c r="M11" s="81">
        <f>J11-L11</f>
        <v>5128000</v>
      </c>
      <c r="N11" s="12">
        <v>42657</v>
      </c>
      <c r="O11" s="14" t="s">
        <v>357</v>
      </c>
      <c r="Q11" s="57"/>
    </row>
    <row r="12" spans="1:20">
      <c r="A12" s="14">
        <v>4623</v>
      </c>
      <c r="B12" s="45" t="s">
        <v>360</v>
      </c>
      <c r="C12" s="250" t="s">
        <v>184</v>
      </c>
      <c r="D12" s="45" t="s">
        <v>471</v>
      </c>
      <c r="E12" s="45" t="s">
        <v>84</v>
      </c>
      <c r="F12" s="263">
        <v>15000000</v>
      </c>
      <c r="G12" s="263">
        <v>15000000</v>
      </c>
      <c r="H12" s="12">
        <v>42531</v>
      </c>
      <c r="I12" s="264">
        <f t="shared" si="0"/>
        <v>42566</v>
      </c>
      <c r="J12" s="263">
        <v>15000000</v>
      </c>
      <c r="K12" s="264">
        <f t="shared" si="1"/>
        <v>42711</v>
      </c>
      <c r="L12" s="81"/>
      <c r="M12" s="81">
        <f>J12-L12</f>
        <v>15000000</v>
      </c>
      <c r="N12" s="12">
        <v>42679</v>
      </c>
      <c r="Q12" s="57"/>
    </row>
    <row r="13" spans="1:20">
      <c r="A13" s="14">
        <v>4646</v>
      </c>
      <c r="B13" s="45" t="s">
        <v>80</v>
      </c>
      <c r="C13" s="250" t="s">
        <v>184</v>
      </c>
      <c r="D13" s="45" t="s">
        <v>544</v>
      </c>
      <c r="E13" s="45" t="s">
        <v>418</v>
      </c>
      <c r="F13" s="263">
        <v>3300000</v>
      </c>
      <c r="G13" s="263">
        <v>3300000</v>
      </c>
      <c r="H13" s="12">
        <v>42598</v>
      </c>
      <c r="I13" s="264">
        <f t="shared" si="0"/>
        <v>42633</v>
      </c>
      <c r="J13" s="263">
        <v>3300000</v>
      </c>
      <c r="K13" s="264">
        <f t="shared" si="1"/>
        <v>42778</v>
      </c>
      <c r="L13" s="81"/>
      <c r="M13" s="239"/>
      <c r="N13" s="133"/>
      <c r="Q13" s="57"/>
    </row>
    <row r="14" spans="1:20">
      <c r="A14" s="14">
        <v>4647</v>
      </c>
      <c r="B14" s="45" t="s">
        <v>80</v>
      </c>
      <c r="C14" s="250" t="s">
        <v>184</v>
      </c>
      <c r="D14" s="250" t="s">
        <v>545</v>
      </c>
      <c r="E14" s="224" t="s">
        <v>416</v>
      </c>
      <c r="F14" s="263">
        <v>2200000</v>
      </c>
      <c r="G14" s="263">
        <v>2200000</v>
      </c>
      <c r="H14" s="12">
        <v>42598</v>
      </c>
      <c r="I14" s="264">
        <f t="shared" si="0"/>
        <v>42633</v>
      </c>
      <c r="J14" s="263">
        <v>2200000</v>
      </c>
      <c r="K14" s="264">
        <f t="shared" si="1"/>
        <v>42778</v>
      </c>
      <c r="L14" s="81"/>
      <c r="M14" s="81"/>
      <c r="N14" s="12"/>
      <c r="Q14" s="57"/>
    </row>
    <row r="15" spans="1:20">
      <c r="A15" s="14">
        <v>4648</v>
      </c>
      <c r="B15" s="45" t="s">
        <v>80</v>
      </c>
      <c r="C15" s="250" t="s">
        <v>184</v>
      </c>
      <c r="D15" s="45" t="s">
        <v>541</v>
      </c>
      <c r="E15" s="45" t="s">
        <v>83</v>
      </c>
      <c r="F15" s="263">
        <v>16500000</v>
      </c>
      <c r="G15" s="263">
        <v>16500000</v>
      </c>
      <c r="H15" s="12">
        <v>42598</v>
      </c>
      <c r="I15" s="264">
        <f t="shared" si="0"/>
        <v>42633</v>
      </c>
      <c r="J15" s="263">
        <v>16500000</v>
      </c>
      <c r="K15" s="264">
        <f t="shared" si="1"/>
        <v>42778</v>
      </c>
      <c r="L15" s="81"/>
      <c r="M15" s="81"/>
      <c r="N15" s="12"/>
      <c r="Q15" s="57"/>
    </row>
    <row r="16" spans="1:20">
      <c r="A16" s="14">
        <v>4649</v>
      </c>
      <c r="B16" s="45" t="s">
        <v>80</v>
      </c>
      <c r="C16" s="250" t="s">
        <v>184</v>
      </c>
      <c r="D16" s="45" t="s">
        <v>542</v>
      </c>
      <c r="E16" s="45" t="s">
        <v>272</v>
      </c>
      <c r="F16" s="263">
        <v>16500000</v>
      </c>
      <c r="G16" s="263">
        <v>16500000</v>
      </c>
      <c r="H16" s="12">
        <v>42598</v>
      </c>
      <c r="I16" s="264">
        <f t="shared" si="0"/>
        <v>42633</v>
      </c>
      <c r="J16" s="263">
        <v>16500000</v>
      </c>
      <c r="K16" s="264">
        <f t="shared" si="1"/>
        <v>42778</v>
      </c>
      <c r="L16" s="81"/>
      <c r="M16" s="81"/>
      <c r="N16" s="12"/>
      <c r="Q16" s="57"/>
    </row>
    <row r="17" spans="1:20">
      <c r="A17" s="14" t="s">
        <v>546</v>
      </c>
      <c r="B17" s="45" t="s">
        <v>45</v>
      </c>
      <c r="C17" s="250" t="s">
        <v>184</v>
      </c>
      <c r="D17" s="45" t="s">
        <v>547</v>
      </c>
      <c r="E17" s="45" t="s">
        <v>511</v>
      </c>
      <c r="F17" s="263"/>
      <c r="G17" s="263"/>
      <c r="H17" s="12"/>
      <c r="I17" s="264"/>
      <c r="J17" s="263"/>
      <c r="K17" s="264"/>
      <c r="L17" s="81"/>
      <c r="M17" s="81"/>
      <c r="N17" s="12"/>
      <c r="Q17" s="57"/>
    </row>
    <row r="18" spans="1:20">
      <c r="B18" s="54"/>
      <c r="C18" s="4"/>
      <c r="F18" s="460"/>
      <c r="H18" s="12"/>
      <c r="I18" s="301"/>
      <c r="K18" s="301"/>
      <c r="L18" s="238"/>
      <c r="M18" s="81"/>
      <c r="Q18" s="57"/>
    </row>
    <row r="19" spans="1:20" s="4" customFormat="1">
      <c r="A19" s="14"/>
      <c r="B19" s="14"/>
      <c r="C19" s="250"/>
      <c r="D19" s="14"/>
      <c r="E19" s="14"/>
      <c r="F19" s="86">
        <f>SUM(F7:F18)</f>
        <v>153120000</v>
      </c>
      <c r="G19" s="86">
        <f>SUM(G7:G18)</f>
        <v>153120000</v>
      </c>
      <c r="H19" s="12"/>
      <c r="I19" s="12"/>
      <c r="J19" s="86">
        <f>SUM(J7:J18)</f>
        <v>153120000</v>
      </c>
      <c r="K19" s="12"/>
      <c r="L19" s="88">
        <f>SUM(L7:L18)</f>
        <v>9872000</v>
      </c>
      <c r="M19" s="88">
        <f>SUM(M7:M18)</f>
        <v>104748000</v>
      </c>
      <c r="N19" s="7"/>
      <c r="R19" s="237"/>
    </row>
    <row r="20" spans="1:20" s="4" customFormat="1">
      <c r="A20" s="14"/>
      <c r="B20" s="14"/>
      <c r="C20" s="14"/>
      <c r="D20" s="14"/>
      <c r="E20" s="14"/>
      <c r="F20" s="84"/>
      <c r="G20" s="85"/>
      <c r="H20" s="12"/>
      <c r="I20" s="12"/>
      <c r="J20" s="11"/>
      <c r="K20" s="12"/>
      <c r="L20" s="48"/>
      <c r="M20" s="49"/>
      <c r="N20" s="7"/>
    </row>
    <row r="21" spans="1:20" s="4" customFormat="1">
      <c r="A21" s="14"/>
      <c r="B21" s="14"/>
      <c r="C21" s="5" t="s">
        <v>45</v>
      </c>
      <c r="D21" s="5"/>
      <c r="E21" s="5"/>
      <c r="F21" s="81">
        <f>SUM(F19-G19)</f>
        <v>0</v>
      </c>
      <c r="G21" s="85"/>
      <c r="H21" s="12"/>
      <c r="I21" s="12"/>
      <c r="J21" s="11"/>
      <c r="K21" s="12"/>
      <c r="L21" s="13"/>
      <c r="M21" s="36"/>
      <c r="N21" s="7"/>
    </row>
    <row r="22" spans="1:20">
      <c r="C22" s="5"/>
      <c r="D22" s="5"/>
      <c r="E22" s="5"/>
      <c r="F22" s="81"/>
      <c r="G22" s="85"/>
      <c r="H22" s="12"/>
      <c r="I22" s="12"/>
      <c r="J22" s="57"/>
      <c r="K22" s="12"/>
      <c r="N22" s="7"/>
      <c r="O22" s="1"/>
      <c r="P22" s="1"/>
      <c r="Q22" s="1"/>
      <c r="R22" s="1"/>
      <c r="S22" s="1"/>
      <c r="T22" s="1"/>
    </row>
    <row r="23" spans="1:20">
      <c r="A23" s="5"/>
      <c r="B23" s="5"/>
      <c r="D23" s="70" t="s">
        <v>10</v>
      </c>
      <c r="E23" s="5"/>
      <c r="F23" s="232">
        <f>C1-G19+M19+E26</f>
        <v>31547897</v>
      </c>
      <c r="G23" s="131" t="s">
        <v>570</v>
      </c>
      <c r="H23" s="7"/>
      <c r="I23" s="7"/>
      <c r="J23" s="62"/>
      <c r="K23" s="7"/>
      <c r="L23" s="55"/>
      <c r="M23" s="55"/>
      <c r="N23" s="7"/>
      <c r="O23" s="1"/>
      <c r="P23" s="1"/>
      <c r="Q23" s="1"/>
      <c r="R23" s="1"/>
      <c r="S23" s="1"/>
      <c r="T23" s="1"/>
    </row>
    <row r="24" spans="1:20" s="5" customFormat="1" ht="11.25" customHeight="1">
      <c r="A24" s="4"/>
      <c r="B24" s="54"/>
      <c r="C24" s="54"/>
      <c r="D24" s="4"/>
      <c r="E24" s="54"/>
      <c r="F24" s="96"/>
      <c r="G24" s="128"/>
      <c r="H24" s="7"/>
      <c r="I24" s="7"/>
      <c r="J24" s="75"/>
      <c r="K24" s="7"/>
      <c r="L24" s="48"/>
      <c r="M24" s="109"/>
      <c r="N24" s="7"/>
      <c r="O24" s="54"/>
      <c r="R24" s="14"/>
      <c r="T24" s="85"/>
    </row>
    <row r="25" spans="1:20">
      <c r="D25" s="207"/>
      <c r="E25" s="263"/>
    </row>
    <row r="26" spans="1:20">
      <c r="D26" s="207"/>
      <c r="E26" s="263"/>
      <c r="F26" s="64"/>
    </row>
    <row r="27" spans="1:20">
      <c r="C27" s="5"/>
      <c r="D27" s="5"/>
      <c r="E27" s="460"/>
      <c r="H27" s="529"/>
    </row>
    <row r="28" spans="1:20">
      <c r="H28" s="133"/>
      <c r="I28" s="133"/>
    </row>
    <row r="29" spans="1:20">
      <c r="I29" s="133"/>
    </row>
    <row r="30" spans="1:20">
      <c r="I30" s="133"/>
    </row>
    <row r="31" spans="1:20">
      <c r="D31" s="306"/>
      <c r="I31" s="133"/>
    </row>
    <row r="32" spans="1:20">
      <c r="D32" s="57"/>
      <c r="I32" s="181"/>
      <c r="J32" s="14"/>
    </row>
    <row r="34" spans="5:11">
      <c r="K34" s="14" t="s">
        <v>7</v>
      </c>
    </row>
    <row r="35" spans="5:11">
      <c r="E35" s="93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T45"/>
  <sheetViews>
    <sheetView zoomScaleNormal="100" workbookViewId="0">
      <pane ySplit="6" topLeftCell="A7" activePane="bottomLeft" state="frozen"/>
      <selection activeCell="K30" sqref="I28:K30"/>
      <selection pane="bottomLeft" activeCell="A38" sqref="A38"/>
    </sheetView>
  </sheetViews>
  <sheetFormatPr defaultColWidth="10.85546875" defaultRowHeight="12"/>
  <cols>
    <col min="1" max="1" width="12.85546875" style="14" customWidth="1"/>
    <col min="2" max="2" width="12.140625" style="14" bestFit="1" customWidth="1"/>
    <col min="3" max="3" width="12.42578125" style="14" bestFit="1" customWidth="1"/>
    <col min="4" max="4" width="24.85546875" style="14" customWidth="1"/>
    <col min="5" max="5" width="13.140625" style="14" bestFit="1" customWidth="1"/>
    <col min="6" max="6" width="16.140625" style="81" bestFit="1" customWidth="1"/>
    <col min="7" max="7" width="15.85546875" style="81" bestFit="1" customWidth="1"/>
    <col min="8" max="8" width="13.85546875" style="193" bestFit="1" customWidth="1"/>
    <col min="9" max="9" width="10.85546875" style="14" bestFit="1" customWidth="1"/>
    <col min="10" max="10" width="12.5703125" style="74" bestFit="1" customWidth="1"/>
    <col min="11" max="11" width="10.5703125" style="14" bestFit="1" customWidth="1"/>
    <col min="12" max="12" width="14.7109375" style="13" bestFit="1" customWidth="1"/>
    <col min="13" max="13" width="12.140625" style="43" bestFit="1" customWidth="1"/>
    <col min="14" max="14" width="9.42578125" style="14" bestFit="1" customWidth="1"/>
    <col min="15" max="15" width="15.140625" style="14" bestFit="1" customWidth="1"/>
    <col min="16" max="16384" width="10.85546875" style="14"/>
  </cols>
  <sheetData>
    <row r="1" spans="1:20" s="25" customFormat="1">
      <c r="A1" s="17" t="s">
        <v>12</v>
      </c>
      <c r="B1" s="18"/>
      <c r="C1" s="19">
        <f>Totals!G8</f>
        <v>159839794</v>
      </c>
      <c r="D1" s="19"/>
      <c r="E1" s="27"/>
      <c r="F1" s="208"/>
      <c r="G1" s="203"/>
      <c r="I1" s="23"/>
      <c r="J1" s="72"/>
      <c r="K1" s="23"/>
      <c r="L1" s="46"/>
      <c r="M1" s="71"/>
      <c r="N1" s="24"/>
      <c r="O1" s="5"/>
      <c r="P1" s="5"/>
      <c r="Q1" s="5"/>
      <c r="R1" s="5"/>
      <c r="S1" s="5"/>
      <c r="T1" s="5"/>
    </row>
    <row r="2" spans="1:20">
      <c r="A2" s="26" t="s">
        <v>1</v>
      </c>
      <c r="B2" s="5"/>
      <c r="C2" s="27"/>
      <c r="D2" s="27"/>
      <c r="E2" s="27"/>
      <c r="F2" s="84"/>
      <c r="G2" s="84"/>
      <c r="J2" s="73"/>
      <c r="K2" s="12"/>
      <c r="L2" s="50" t="s">
        <v>55</v>
      </c>
      <c r="M2" s="194"/>
      <c r="N2" s="31"/>
      <c r="O2" s="5"/>
      <c r="P2" s="5"/>
      <c r="Q2" s="5"/>
      <c r="R2" s="5"/>
      <c r="S2" s="5"/>
      <c r="T2" s="5"/>
    </row>
    <row r="3" spans="1:20">
      <c r="A3" s="32"/>
      <c r="C3" s="5"/>
      <c r="D3" s="5"/>
      <c r="E3" s="5"/>
      <c r="F3" s="84"/>
      <c r="G3" s="84"/>
      <c r="I3" s="12"/>
      <c r="J3" s="73"/>
      <c r="K3" s="12"/>
      <c r="L3" s="48"/>
      <c r="M3" s="44"/>
      <c r="N3" s="31"/>
      <c r="O3" s="5"/>
      <c r="P3" s="5"/>
      <c r="Q3" s="5"/>
      <c r="R3" s="5"/>
      <c r="S3" s="5"/>
      <c r="T3" s="5"/>
    </row>
    <row r="4" spans="1:20" s="5" customFormat="1">
      <c r="A4" s="32" t="s">
        <v>34</v>
      </c>
      <c r="B4" s="5" t="s">
        <v>39</v>
      </c>
      <c r="C4" s="5" t="s">
        <v>32</v>
      </c>
      <c r="D4" s="27" t="s">
        <v>51</v>
      </c>
      <c r="E4" s="5" t="s">
        <v>47</v>
      </c>
      <c r="F4" s="109" t="s">
        <v>24</v>
      </c>
      <c r="G4" s="109" t="s">
        <v>8</v>
      </c>
      <c r="H4" s="195" t="s">
        <v>14</v>
      </c>
      <c r="I4" s="7" t="s">
        <v>36</v>
      </c>
      <c r="J4" s="33" t="s">
        <v>4</v>
      </c>
      <c r="K4" s="7" t="s">
        <v>346</v>
      </c>
      <c r="L4" s="50" t="s">
        <v>28</v>
      </c>
      <c r="M4" s="65" t="s">
        <v>46</v>
      </c>
      <c r="N4" s="31" t="s">
        <v>23</v>
      </c>
    </row>
    <row r="5" spans="1:20" s="5" customFormat="1">
      <c r="A5" s="32" t="s">
        <v>50</v>
      </c>
      <c r="B5" s="14"/>
      <c r="D5" s="27"/>
      <c r="E5" s="27"/>
      <c r="F5" s="109" t="s">
        <v>44</v>
      </c>
      <c r="G5" s="109" t="s">
        <v>44</v>
      </c>
      <c r="H5" s="195" t="s">
        <v>9</v>
      </c>
      <c r="I5" s="7" t="s">
        <v>18</v>
      </c>
      <c r="J5" s="33" t="s">
        <v>44</v>
      </c>
      <c r="K5" s="7" t="s">
        <v>18</v>
      </c>
      <c r="L5" s="50" t="s">
        <v>44</v>
      </c>
      <c r="M5" s="65" t="s">
        <v>44</v>
      </c>
      <c r="N5" s="31" t="s">
        <v>5</v>
      </c>
    </row>
    <row r="6" spans="1:20" s="5" customFormat="1" ht="12.75" thickBot="1">
      <c r="A6" s="38" t="s">
        <v>33</v>
      </c>
      <c r="B6" s="34"/>
      <c r="C6" s="34"/>
      <c r="D6" s="34"/>
      <c r="E6" s="34"/>
      <c r="F6" s="202"/>
      <c r="G6" s="202"/>
      <c r="H6" s="196"/>
      <c r="I6" s="41"/>
      <c r="J6" s="197"/>
      <c r="K6" s="41"/>
      <c r="L6" s="52"/>
      <c r="M6" s="198"/>
      <c r="N6" s="42" t="s">
        <v>9</v>
      </c>
    </row>
    <row r="7" spans="1:20">
      <c r="A7" s="14">
        <v>4565</v>
      </c>
      <c r="B7" s="45" t="s">
        <v>360</v>
      </c>
      <c r="C7" s="14" t="s">
        <v>79</v>
      </c>
      <c r="D7" s="45" t="s">
        <v>369</v>
      </c>
      <c r="E7" s="14" t="s">
        <v>238</v>
      </c>
      <c r="F7" s="84">
        <v>10000000</v>
      </c>
      <c r="G7" s="84">
        <v>10000000</v>
      </c>
      <c r="H7" s="12">
        <v>42390</v>
      </c>
      <c r="I7" s="12">
        <f t="shared" ref="I7:I18" si="0">H7+35</f>
        <v>42425</v>
      </c>
      <c r="J7" s="84">
        <v>10000000</v>
      </c>
      <c r="K7" s="12">
        <f t="shared" ref="K7:K18" si="1">H7+180</f>
        <v>42570</v>
      </c>
      <c r="L7" s="84">
        <v>0</v>
      </c>
      <c r="M7" s="84">
        <f t="shared" ref="M7:M14" si="2">J7-L7</f>
        <v>10000000</v>
      </c>
      <c r="N7" s="12">
        <v>42507</v>
      </c>
    </row>
    <row r="8" spans="1:20">
      <c r="A8" s="14">
        <v>4578</v>
      </c>
      <c r="B8" s="45" t="s">
        <v>360</v>
      </c>
      <c r="C8" s="14" t="s">
        <v>79</v>
      </c>
      <c r="D8" s="45" t="s">
        <v>394</v>
      </c>
      <c r="E8" s="14" t="s">
        <v>85</v>
      </c>
      <c r="F8" s="84">
        <v>12000000</v>
      </c>
      <c r="G8" s="84">
        <v>12000000</v>
      </c>
      <c r="H8" s="12">
        <v>42419</v>
      </c>
      <c r="I8" s="12">
        <f t="shared" si="0"/>
        <v>42454</v>
      </c>
      <c r="J8" s="84">
        <v>12000000</v>
      </c>
      <c r="K8" s="12">
        <f t="shared" si="1"/>
        <v>42599</v>
      </c>
      <c r="L8" s="84">
        <v>0</v>
      </c>
      <c r="M8" s="84">
        <f t="shared" si="2"/>
        <v>12000000</v>
      </c>
      <c r="N8" s="12">
        <v>42462</v>
      </c>
    </row>
    <row r="9" spans="1:20">
      <c r="A9" s="14">
        <v>4581</v>
      </c>
      <c r="B9" s="1" t="s">
        <v>86</v>
      </c>
      <c r="C9" s="14" t="s">
        <v>79</v>
      </c>
      <c r="D9" s="45" t="s">
        <v>252</v>
      </c>
      <c r="E9" s="14" t="s">
        <v>151</v>
      </c>
      <c r="F9" s="84">
        <v>41000000</v>
      </c>
      <c r="G9" s="84">
        <v>41000000</v>
      </c>
      <c r="H9" s="12">
        <v>42424</v>
      </c>
      <c r="I9" s="12">
        <f t="shared" si="0"/>
        <v>42459</v>
      </c>
      <c r="J9" s="84">
        <v>41000000</v>
      </c>
      <c r="K9" s="12">
        <f t="shared" si="1"/>
        <v>42604</v>
      </c>
      <c r="L9" s="84">
        <v>0</v>
      </c>
      <c r="M9" s="84">
        <f t="shared" si="2"/>
        <v>41000000</v>
      </c>
      <c r="N9" s="12">
        <v>42538</v>
      </c>
      <c r="O9" s="14" t="s">
        <v>357</v>
      </c>
    </row>
    <row r="10" spans="1:20">
      <c r="A10" s="14">
        <v>4594</v>
      </c>
      <c r="B10" s="1" t="s">
        <v>86</v>
      </c>
      <c r="C10" s="14" t="s">
        <v>79</v>
      </c>
      <c r="D10" s="45" t="s">
        <v>412</v>
      </c>
      <c r="E10" s="14" t="s">
        <v>85</v>
      </c>
      <c r="F10" s="84">
        <v>20000000</v>
      </c>
      <c r="G10" s="84">
        <v>20000000</v>
      </c>
      <c r="H10" s="12">
        <v>42440</v>
      </c>
      <c r="I10" s="12">
        <f t="shared" si="0"/>
        <v>42475</v>
      </c>
      <c r="J10" s="84">
        <v>20000000</v>
      </c>
      <c r="K10" s="12">
        <f t="shared" si="1"/>
        <v>42620</v>
      </c>
      <c r="L10" s="84">
        <v>20000000</v>
      </c>
      <c r="M10" s="84">
        <f t="shared" si="2"/>
        <v>0</v>
      </c>
      <c r="N10" s="12">
        <v>42560</v>
      </c>
    </row>
    <row r="11" spans="1:20">
      <c r="A11" s="14">
        <v>4595</v>
      </c>
      <c r="B11" s="1" t="s">
        <v>86</v>
      </c>
      <c r="C11" s="14" t="s">
        <v>79</v>
      </c>
      <c r="D11" s="45" t="s">
        <v>413</v>
      </c>
      <c r="E11" s="14" t="s">
        <v>84</v>
      </c>
      <c r="F11" s="84">
        <v>29000000</v>
      </c>
      <c r="G11" s="84">
        <v>29000000</v>
      </c>
      <c r="H11" s="12">
        <v>42445</v>
      </c>
      <c r="I11" s="12">
        <f t="shared" si="0"/>
        <v>42480</v>
      </c>
      <c r="J11" s="84">
        <v>29000000</v>
      </c>
      <c r="K11" s="12">
        <f t="shared" si="1"/>
        <v>42625</v>
      </c>
      <c r="L11" s="84">
        <v>28000000</v>
      </c>
      <c r="M11" s="73">
        <f t="shared" si="2"/>
        <v>1000000</v>
      </c>
      <c r="N11" s="12">
        <v>42620</v>
      </c>
    </row>
    <row r="12" spans="1:20">
      <c r="A12" s="14">
        <v>4599</v>
      </c>
      <c r="B12" s="1" t="s">
        <v>86</v>
      </c>
      <c r="C12" s="14" t="s">
        <v>79</v>
      </c>
      <c r="D12" s="45" t="s">
        <v>426</v>
      </c>
      <c r="E12" s="14" t="s">
        <v>427</v>
      </c>
      <c r="F12" s="84">
        <v>26000000</v>
      </c>
      <c r="G12" s="84">
        <v>26000000</v>
      </c>
      <c r="H12" s="12">
        <v>42462</v>
      </c>
      <c r="I12" s="12">
        <f t="shared" si="0"/>
        <v>42497</v>
      </c>
      <c r="J12" s="84">
        <v>26000000</v>
      </c>
      <c r="K12" s="12">
        <f t="shared" si="1"/>
        <v>42642</v>
      </c>
      <c r="L12" s="84">
        <v>26000000</v>
      </c>
      <c r="M12" s="84">
        <f t="shared" si="2"/>
        <v>0</v>
      </c>
      <c r="N12" s="12">
        <v>42608</v>
      </c>
    </row>
    <row r="13" spans="1:20">
      <c r="A13" s="14">
        <v>4603</v>
      </c>
      <c r="B13" s="1" t="s">
        <v>86</v>
      </c>
      <c r="C13" s="14" t="s">
        <v>79</v>
      </c>
      <c r="D13" s="45" t="s">
        <v>394</v>
      </c>
      <c r="E13" s="14" t="s">
        <v>85</v>
      </c>
      <c r="F13" s="84">
        <v>10000000</v>
      </c>
      <c r="G13" s="84">
        <v>10000000</v>
      </c>
      <c r="H13" s="12">
        <v>42467</v>
      </c>
      <c r="I13" s="12">
        <f t="shared" si="0"/>
        <v>42502</v>
      </c>
      <c r="J13" s="84">
        <v>10000000</v>
      </c>
      <c r="K13" s="12">
        <f t="shared" si="1"/>
        <v>42647</v>
      </c>
      <c r="L13" s="84">
        <v>0</v>
      </c>
      <c r="M13" s="84">
        <f t="shared" si="2"/>
        <v>10000000</v>
      </c>
      <c r="N13" s="12">
        <v>42510</v>
      </c>
      <c r="O13" s="14" t="s">
        <v>357</v>
      </c>
    </row>
    <row r="14" spans="1:20">
      <c r="A14" s="14">
        <v>4604</v>
      </c>
      <c r="B14" s="1" t="s">
        <v>86</v>
      </c>
      <c r="C14" s="14" t="s">
        <v>79</v>
      </c>
      <c r="D14" s="45" t="s">
        <v>430</v>
      </c>
      <c r="E14" s="14" t="s">
        <v>429</v>
      </c>
      <c r="F14" s="84">
        <v>16000000</v>
      </c>
      <c r="G14" s="84">
        <v>16000000</v>
      </c>
      <c r="H14" s="12">
        <v>42474</v>
      </c>
      <c r="I14" s="12">
        <f t="shared" si="0"/>
        <v>42509</v>
      </c>
      <c r="J14" s="84">
        <v>16000000</v>
      </c>
      <c r="K14" s="12">
        <f t="shared" si="1"/>
        <v>42654</v>
      </c>
      <c r="L14" s="84">
        <v>16000000</v>
      </c>
      <c r="M14" s="84">
        <f t="shared" si="2"/>
        <v>0</v>
      </c>
      <c r="N14" s="12">
        <v>42649</v>
      </c>
    </row>
    <row r="15" spans="1:20">
      <c r="A15" s="14">
        <v>4608</v>
      </c>
      <c r="B15" s="1" t="s">
        <v>86</v>
      </c>
      <c r="C15" s="14" t="s">
        <v>79</v>
      </c>
      <c r="D15" s="45" t="s">
        <v>443</v>
      </c>
      <c r="E15" s="14" t="s">
        <v>84</v>
      </c>
      <c r="F15" s="84">
        <v>18000000</v>
      </c>
      <c r="G15" s="84">
        <v>18000000</v>
      </c>
      <c r="H15" s="12">
        <v>42496</v>
      </c>
      <c r="I15" s="12">
        <f t="shared" si="0"/>
        <v>42531</v>
      </c>
      <c r="J15" s="84">
        <v>18000000</v>
      </c>
      <c r="K15" s="12">
        <f t="shared" si="1"/>
        <v>42676</v>
      </c>
      <c r="L15" s="84">
        <v>18000000</v>
      </c>
      <c r="M15" s="84">
        <f>J15-L15</f>
        <v>0</v>
      </c>
      <c r="N15" s="12">
        <v>42560</v>
      </c>
    </row>
    <row r="16" spans="1:20">
      <c r="A16" s="14">
        <v>4609</v>
      </c>
      <c r="B16" s="1" t="s">
        <v>86</v>
      </c>
      <c r="C16" s="14" t="s">
        <v>79</v>
      </c>
      <c r="D16" s="45" t="s">
        <v>379</v>
      </c>
      <c r="E16" s="45" t="s">
        <v>272</v>
      </c>
      <c r="F16" s="84">
        <v>36800000</v>
      </c>
      <c r="G16" s="84">
        <v>36800000</v>
      </c>
      <c r="H16" s="12">
        <v>42496</v>
      </c>
      <c r="I16" s="12">
        <f t="shared" si="0"/>
        <v>42531</v>
      </c>
      <c r="J16" s="84">
        <v>36800000</v>
      </c>
      <c r="K16" s="12">
        <f t="shared" si="1"/>
        <v>42676</v>
      </c>
      <c r="L16" s="84">
        <v>18800000</v>
      </c>
      <c r="M16" s="84">
        <f>J16-L16</f>
        <v>18000000</v>
      </c>
      <c r="N16" s="12">
        <v>42545</v>
      </c>
      <c r="O16" s="14" t="s">
        <v>357</v>
      </c>
    </row>
    <row r="17" spans="1:20">
      <c r="A17" s="14">
        <v>4610</v>
      </c>
      <c r="B17" s="1" t="s">
        <v>86</v>
      </c>
      <c r="C17" s="14" t="s">
        <v>79</v>
      </c>
      <c r="D17" s="45" t="s">
        <v>442</v>
      </c>
      <c r="E17" s="45" t="s">
        <v>272</v>
      </c>
      <c r="F17" s="84">
        <v>22000000</v>
      </c>
      <c r="G17" s="84">
        <v>22000000</v>
      </c>
      <c r="H17" s="12">
        <v>42497</v>
      </c>
      <c r="I17" s="12">
        <f t="shared" si="0"/>
        <v>42532</v>
      </c>
      <c r="J17" s="84">
        <v>22000000</v>
      </c>
      <c r="K17" s="12">
        <f t="shared" si="1"/>
        <v>42677</v>
      </c>
      <c r="L17" s="84">
        <v>22000000</v>
      </c>
      <c r="M17" s="84">
        <f>J17-L17</f>
        <v>0</v>
      </c>
      <c r="N17" s="12">
        <v>42545</v>
      </c>
    </row>
    <row r="18" spans="1:20">
      <c r="A18" s="14">
        <v>4612</v>
      </c>
      <c r="B18" s="1" t="s">
        <v>86</v>
      </c>
      <c r="C18" s="14" t="s">
        <v>79</v>
      </c>
      <c r="D18" s="45" t="s">
        <v>369</v>
      </c>
      <c r="E18" s="14" t="s">
        <v>238</v>
      </c>
      <c r="F18" s="84">
        <v>10000000</v>
      </c>
      <c r="G18" s="84">
        <v>10000000</v>
      </c>
      <c r="H18" s="12">
        <v>42509</v>
      </c>
      <c r="I18" s="12">
        <f t="shared" si="0"/>
        <v>42544</v>
      </c>
      <c r="J18" s="84">
        <v>10000000</v>
      </c>
      <c r="K18" s="12">
        <f t="shared" si="1"/>
        <v>42689</v>
      </c>
      <c r="L18" s="84">
        <v>10000000</v>
      </c>
      <c r="M18" s="73">
        <f>J18-L18</f>
        <v>0</v>
      </c>
      <c r="N18" s="12">
        <v>42678</v>
      </c>
    </row>
    <row r="19" spans="1:20">
      <c r="A19" s="14" t="s">
        <v>464</v>
      </c>
      <c r="B19" s="1" t="s">
        <v>45</v>
      </c>
      <c r="C19" s="14" t="s">
        <v>79</v>
      </c>
      <c r="D19" s="45" t="s">
        <v>465</v>
      </c>
      <c r="E19" s="14" t="s">
        <v>103</v>
      </c>
      <c r="F19" s="84"/>
      <c r="G19" s="84"/>
      <c r="H19" s="12"/>
      <c r="I19" s="12"/>
      <c r="J19" s="84"/>
      <c r="K19" s="12"/>
      <c r="L19" s="84"/>
      <c r="M19" s="73"/>
      <c r="N19" s="12"/>
    </row>
    <row r="20" spans="1:20">
      <c r="A20" s="14" t="s">
        <v>468</v>
      </c>
      <c r="B20" s="1" t="s">
        <v>45</v>
      </c>
      <c r="C20" s="14" t="s">
        <v>79</v>
      </c>
      <c r="D20" s="45" t="s">
        <v>469</v>
      </c>
      <c r="E20" s="14" t="s">
        <v>82</v>
      </c>
      <c r="F20" s="84"/>
      <c r="G20" s="84"/>
      <c r="H20" s="12"/>
      <c r="I20" s="12"/>
      <c r="J20" s="84"/>
      <c r="K20" s="12"/>
      <c r="L20" s="84"/>
      <c r="M20" s="73"/>
      <c r="N20" s="12"/>
    </row>
    <row r="21" spans="1:20">
      <c r="A21" s="14" t="s">
        <v>490</v>
      </c>
      <c r="B21" s="1" t="s">
        <v>45</v>
      </c>
      <c r="C21" s="14" t="s">
        <v>79</v>
      </c>
      <c r="D21" s="45" t="s">
        <v>491</v>
      </c>
      <c r="E21" s="14" t="s">
        <v>82</v>
      </c>
      <c r="F21" s="84"/>
      <c r="G21" s="84"/>
      <c r="H21" s="12"/>
      <c r="I21" s="12"/>
      <c r="J21" s="84"/>
      <c r="K21" s="12"/>
      <c r="L21" s="84"/>
      <c r="M21" s="73"/>
      <c r="N21" s="12"/>
    </row>
    <row r="22" spans="1:20">
      <c r="A22" s="14" t="s">
        <v>492</v>
      </c>
      <c r="B22" s="1" t="s">
        <v>45</v>
      </c>
      <c r="C22" s="14" t="s">
        <v>79</v>
      </c>
      <c r="D22" s="45" t="s">
        <v>493</v>
      </c>
      <c r="E22" s="14" t="s">
        <v>85</v>
      </c>
      <c r="F22" s="84"/>
      <c r="G22" s="84"/>
      <c r="H22" s="12"/>
      <c r="I22" s="12"/>
      <c r="J22" s="84"/>
      <c r="K22" s="12"/>
      <c r="L22" s="84"/>
      <c r="M22" s="73"/>
      <c r="N22" s="12"/>
    </row>
    <row r="23" spans="1:20">
      <c r="A23" s="14" t="s">
        <v>503</v>
      </c>
      <c r="B23" s="1" t="s">
        <v>45</v>
      </c>
      <c r="C23" s="14" t="s">
        <v>79</v>
      </c>
      <c r="D23" s="45" t="s">
        <v>504</v>
      </c>
      <c r="E23" s="14" t="s">
        <v>238</v>
      </c>
      <c r="F23" s="84"/>
      <c r="G23" s="84"/>
      <c r="H23" s="12"/>
      <c r="I23" s="12"/>
      <c r="J23" s="84"/>
      <c r="K23" s="12"/>
      <c r="L23" s="84"/>
      <c r="M23" s="73"/>
      <c r="N23" s="12"/>
    </row>
    <row r="24" spans="1:20">
      <c r="A24" s="14" t="s">
        <v>523</v>
      </c>
      <c r="B24" s="1" t="s">
        <v>45</v>
      </c>
      <c r="C24" s="14" t="s">
        <v>79</v>
      </c>
      <c r="D24" s="45" t="s">
        <v>526</v>
      </c>
      <c r="E24" s="14" t="s">
        <v>180</v>
      </c>
      <c r="F24" s="84"/>
      <c r="G24" s="84"/>
      <c r="H24" s="12"/>
      <c r="I24" s="12"/>
      <c r="J24" s="84"/>
      <c r="K24" s="12"/>
      <c r="L24" s="84"/>
      <c r="M24" s="73"/>
      <c r="N24" s="12"/>
    </row>
    <row r="25" spans="1:20">
      <c r="A25" s="14" t="s">
        <v>524</v>
      </c>
      <c r="B25" s="1" t="s">
        <v>45</v>
      </c>
      <c r="C25" s="14" t="s">
        <v>79</v>
      </c>
      <c r="D25" s="45" t="s">
        <v>527</v>
      </c>
      <c r="E25" s="14" t="s">
        <v>82</v>
      </c>
      <c r="F25" s="84"/>
      <c r="G25" s="84"/>
      <c r="H25" s="12"/>
      <c r="I25" s="12"/>
      <c r="J25" s="84"/>
      <c r="K25" s="12"/>
      <c r="L25" s="84"/>
      <c r="M25" s="73"/>
      <c r="N25" s="12"/>
    </row>
    <row r="26" spans="1:20">
      <c r="A26" s="14" t="s">
        <v>525</v>
      </c>
      <c r="B26" s="1" t="s">
        <v>45</v>
      </c>
      <c r="C26" s="14" t="s">
        <v>79</v>
      </c>
      <c r="D26" s="45" t="s">
        <v>566</v>
      </c>
      <c r="E26" s="14" t="s">
        <v>83</v>
      </c>
      <c r="F26" s="84"/>
      <c r="G26" s="84"/>
      <c r="H26" s="12"/>
      <c r="I26" s="12"/>
      <c r="J26" s="84"/>
      <c r="K26" s="12"/>
      <c r="L26" s="84"/>
      <c r="M26" s="73"/>
      <c r="N26" s="12"/>
    </row>
    <row r="27" spans="1:20">
      <c r="B27" s="1"/>
      <c r="D27" s="45"/>
      <c r="F27" s="84"/>
      <c r="G27" s="84"/>
      <c r="H27" s="12"/>
      <c r="I27" s="12"/>
      <c r="J27" s="84"/>
      <c r="K27" s="12"/>
      <c r="L27" s="84"/>
      <c r="M27" s="73"/>
      <c r="N27" s="12"/>
    </row>
    <row r="28" spans="1:20" s="1" customFormat="1">
      <c r="A28" s="14"/>
      <c r="B28" s="4"/>
      <c r="C28" s="5"/>
      <c r="D28" s="45"/>
      <c r="F28" s="10"/>
      <c r="G28" s="10"/>
      <c r="H28" s="12"/>
      <c r="I28" s="132"/>
      <c r="J28" s="10"/>
      <c r="K28" s="132"/>
      <c r="L28" s="73"/>
      <c r="M28" s="73"/>
      <c r="N28" s="12"/>
    </row>
    <row r="29" spans="1:20" s="4" customFormat="1">
      <c r="A29" s="14"/>
      <c r="B29" s="1"/>
      <c r="C29" s="199" t="s">
        <v>19</v>
      </c>
      <c r="D29" s="54"/>
      <c r="E29" s="5"/>
      <c r="F29" s="110">
        <f>SUM(F7:F28)</f>
        <v>250800000</v>
      </c>
      <c r="G29" s="110">
        <f>SUM(G7:G28)</f>
        <v>250800000</v>
      </c>
      <c r="H29" s="193"/>
      <c r="I29" s="12"/>
      <c r="J29" s="110">
        <f>SUM(J7:J28)</f>
        <v>250800000</v>
      </c>
      <c r="K29" s="12"/>
      <c r="L29" s="110">
        <f>SUM(L7:L28)</f>
        <v>158800000</v>
      </c>
      <c r="M29" s="110">
        <f>SUM(M7:M28)</f>
        <v>92000000</v>
      </c>
      <c r="N29" s="7"/>
    </row>
    <row r="30" spans="1:20">
      <c r="B30" s="1"/>
      <c r="C30" s="5"/>
      <c r="D30" s="5"/>
      <c r="E30" s="5"/>
      <c r="G30" s="85"/>
      <c r="I30" s="12"/>
      <c r="K30" s="12"/>
      <c r="L30" s="81"/>
      <c r="M30" s="83"/>
      <c r="N30" s="7"/>
      <c r="O30" s="1"/>
      <c r="P30" s="1"/>
      <c r="Q30" s="1"/>
      <c r="R30" s="1"/>
      <c r="S30" s="1"/>
      <c r="T30" s="1"/>
    </row>
    <row r="31" spans="1:20">
      <c r="A31" s="5"/>
      <c r="B31" s="4"/>
      <c r="C31" s="5" t="s">
        <v>45</v>
      </c>
      <c r="D31" s="5"/>
      <c r="E31" s="5"/>
      <c r="F31" s="81">
        <f>F29-G29</f>
        <v>0</v>
      </c>
      <c r="G31" s="89"/>
      <c r="H31" s="195"/>
      <c r="I31" s="7"/>
      <c r="J31" s="80"/>
      <c r="K31" s="7"/>
      <c r="L31" s="93"/>
      <c r="M31" s="77"/>
      <c r="N31" s="7"/>
      <c r="O31" s="1"/>
      <c r="P31" s="1"/>
      <c r="Q31" s="1"/>
      <c r="R31" s="1"/>
      <c r="S31" s="1"/>
      <c r="T31" s="1"/>
    </row>
    <row r="32" spans="1:20" ht="12.75">
      <c r="A32" s="5"/>
      <c r="B32" s="4"/>
      <c r="C32" s="5"/>
      <c r="D32" s="5"/>
      <c r="E32" s="5"/>
      <c r="F32" s="180"/>
      <c r="G32" s="89"/>
      <c r="H32" s="195"/>
      <c r="I32" s="7"/>
      <c r="J32" s="80"/>
      <c r="K32" s="7"/>
      <c r="L32" s="93"/>
      <c r="M32" s="77"/>
      <c r="N32" s="7"/>
      <c r="O32" s="1"/>
      <c r="P32" s="1"/>
      <c r="Q32" s="1"/>
      <c r="R32" s="1"/>
      <c r="S32" s="1"/>
      <c r="T32" s="1"/>
    </row>
    <row r="33" spans="1:20">
      <c r="A33" s="5"/>
      <c r="B33" s="5"/>
      <c r="C33" s="70" t="s">
        <v>10</v>
      </c>
      <c r="D33" s="5"/>
      <c r="E33" s="5"/>
      <c r="F33" s="232">
        <f>+C1-G29+M29</f>
        <v>1039794</v>
      </c>
      <c r="G33" s="131" t="s">
        <v>570</v>
      </c>
      <c r="H33" s="195"/>
      <c r="I33" s="7"/>
      <c r="J33" s="363"/>
      <c r="K33" s="7"/>
      <c r="L33" s="55"/>
      <c r="M33" s="242"/>
      <c r="N33" s="7"/>
      <c r="O33" s="1"/>
      <c r="P33" s="1"/>
      <c r="Q33" s="1"/>
      <c r="R33" s="1"/>
      <c r="S33" s="1"/>
      <c r="T33" s="1"/>
    </row>
    <row r="34" spans="1:20">
      <c r="J34" s="288"/>
    </row>
    <row r="35" spans="1:20">
      <c r="G35" s="200"/>
      <c r="H35" s="12"/>
      <c r="I35" s="74"/>
      <c r="J35" s="362"/>
      <c r="K35" s="13"/>
      <c r="L35" s="43"/>
      <c r="M35" s="14"/>
    </row>
    <row r="36" spans="1:20">
      <c r="D36" s="207"/>
      <c r="E36" s="263"/>
      <c r="G36" s="48"/>
      <c r="H36" s="14"/>
      <c r="I36" s="74"/>
      <c r="J36" s="13"/>
      <c r="K36" s="13"/>
      <c r="L36" s="43"/>
      <c r="M36" s="14"/>
    </row>
    <row r="37" spans="1:20">
      <c r="C37" s="5"/>
      <c r="D37" s="207"/>
      <c r="E37" s="263"/>
      <c r="G37" s="373"/>
      <c r="H37" s="306"/>
      <c r="I37" s="288"/>
      <c r="J37" s="200"/>
      <c r="K37" s="13"/>
      <c r="L37" s="43"/>
      <c r="M37" s="14"/>
    </row>
    <row r="38" spans="1:20">
      <c r="C38" s="5"/>
      <c r="D38" s="207"/>
      <c r="E38" s="263"/>
      <c r="G38" s="373"/>
      <c r="H38" s="306"/>
      <c r="I38" s="288"/>
      <c r="J38" s="200"/>
      <c r="K38" s="13"/>
      <c r="L38" s="43"/>
      <c r="M38" s="14"/>
    </row>
    <row r="39" spans="1:20">
      <c r="D39" s="70"/>
      <c r="E39" s="477"/>
      <c r="G39" s="48"/>
      <c r="H39" s="57"/>
      <c r="I39" s="74"/>
      <c r="J39" s="12"/>
      <c r="K39" s="13"/>
      <c r="L39" s="43"/>
      <c r="M39" s="14"/>
    </row>
    <row r="40" spans="1:20">
      <c r="G40" s="200"/>
      <c r="H40" s="14"/>
      <c r="I40" s="74"/>
      <c r="J40" s="200"/>
      <c r="K40" s="13"/>
      <c r="L40" s="43"/>
      <c r="M40" s="14"/>
    </row>
    <row r="41" spans="1:20">
      <c r="D41" s="133"/>
      <c r="G41" s="12"/>
      <c r="H41" s="14"/>
      <c r="I41" s="74"/>
      <c r="J41" s="12"/>
      <c r="K41" s="13"/>
      <c r="L41" s="43"/>
      <c r="M41" s="14"/>
    </row>
    <row r="42" spans="1:20">
      <c r="D42" s="265"/>
      <c r="F42" s="287"/>
      <c r="G42" s="200"/>
      <c r="H42" s="14"/>
      <c r="I42" s="288"/>
      <c r="J42" s="200"/>
      <c r="K42" s="13"/>
      <c r="L42" s="43"/>
      <c r="M42" s="14"/>
    </row>
    <row r="43" spans="1:20">
      <c r="D43" s="181"/>
      <c r="G43" s="287"/>
    </row>
    <row r="44" spans="1:20">
      <c r="G44" s="287"/>
      <c r="K44" s="57"/>
    </row>
    <row r="45" spans="1:20">
      <c r="G45" s="287"/>
      <c r="K45" s="57"/>
    </row>
  </sheetData>
  <phoneticPr fontId="0" type="noConversion"/>
  <pageMargins left="0.75" right="0.75" top="1" bottom="1" header="0.5" footer="0.5"/>
  <pageSetup scale="80" fitToHeight="2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7"/>
  <sheetViews>
    <sheetView workbookViewId="0">
      <selection activeCell="H23" sqref="H23"/>
    </sheetView>
  </sheetViews>
  <sheetFormatPr defaultColWidth="9.140625" defaultRowHeight="12"/>
  <cols>
    <col min="1" max="1" width="9.85546875" style="1" customWidth="1"/>
    <col min="2" max="2" width="12.140625" style="1" bestFit="1" customWidth="1"/>
    <col min="3" max="3" width="35.42578125" style="1" bestFit="1" customWidth="1"/>
    <col min="4" max="4" width="26.7109375" style="1" bestFit="1" customWidth="1"/>
    <col min="5" max="5" width="14" style="1" bestFit="1" customWidth="1"/>
    <col min="6" max="6" width="13.28515625" style="1" bestFit="1" customWidth="1"/>
    <col min="7" max="7" width="12.140625" style="1" bestFit="1" customWidth="1"/>
    <col min="8" max="8" width="13.42578125" style="1" bestFit="1" customWidth="1"/>
    <col min="9" max="9" width="10.85546875" style="1" bestFit="1" customWidth="1"/>
    <col min="10" max="10" width="12.140625" style="1" bestFit="1" customWidth="1"/>
    <col min="11" max="11" width="10.42578125" style="1" bestFit="1" customWidth="1"/>
    <col min="12" max="12" width="14" style="1" bestFit="1" customWidth="1"/>
    <col min="13" max="13" width="12.140625" style="227" bestFit="1" customWidth="1"/>
    <col min="14" max="14" width="9.85546875" style="1" bestFit="1" customWidth="1"/>
    <col min="15" max="15" width="14.140625" style="1" bestFit="1" customWidth="1"/>
    <col min="16" max="16" width="11.5703125" style="1" bestFit="1" customWidth="1"/>
    <col min="17" max="16384" width="9.140625" style="1"/>
  </cols>
  <sheetData>
    <row r="1" spans="1:15">
      <c r="A1" s="17" t="s">
        <v>12</v>
      </c>
      <c r="B1" s="25"/>
      <c r="C1" s="259">
        <f>'REGION 1'!F13+'REGION 2'!F12+'REGION 3'!F20+'REGION 4'!F12+'REGION 5'!F12+'REGION 6'!F20+'REGION 7'!F20+'REGION 8'!F12+'REGION 9'!F18+'REGION 10'!F12+'REGION 11'!F12+'REGION 12'!F13+'REGION 13'!F12</f>
        <v>416975279</v>
      </c>
      <c r="D1" s="217"/>
      <c r="E1" s="233"/>
      <c r="F1" s="63"/>
      <c r="G1" s="71"/>
      <c r="H1" s="23"/>
      <c r="I1" s="23"/>
      <c r="J1" s="72"/>
      <c r="K1" s="23"/>
      <c r="L1" s="63"/>
      <c r="M1" s="63"/>
      <c r="N1" s="212"/>
    </row>
    <row r="2" spans="1:15">
      <c r="A2" s="26" t="s">
        <v>359</v>
      </c>
      <c r="B2" s="14"/>
      <c r="C2" s="37"/>
      <c r="D2" s="218"/>
      <c r="E2" s="37"/>
      <c r="F2" s="14"/>
      <c r="G2" s="44"/>
      <c r="H2" s="12"/>
      <c r="I2" s="12"/>
      <c r="J2" s="73"/>
      <c r="K2" s="12"/>
      <c r="L2" s="64"/>
      <c r="M2" s="64"/>
      <c r="N2" s="92"/>
    </row>
    <row r="3" spans="1:15">
      <c r="A3" s="32"/>
      <c r="B3" s="5"/>
      <c r="C3" s="5"/>
      <c r="D3" s="5"/>
      <c r="E3" s="5"/>
      <c r="F3" s="50"/>
      <c r="G3" s="194"/>
      <c r="H3" s="7"/>
      <c r="I3" s="7"/>
      <c r="J3" s="400"/>
      <c r="K3" s="7"/>
      <c r="L3" s="65"/>
      <c r="M3" s="65"/>
      <c r="N3" s="31"/>
    </row>
    <row r="4" spans="1:15">
      <c r="A4" s="32" t="s">
        <v>34</v>
      </c>
      <c r="B4" s="5" t="s">
        <v>39</v>
      </c>
      <c r="C4" s="5" t="s">
        <v>32</v>
      </c>
      <c r="D4" s="27" t="s">
        <v>51</v>
      </c>
      <c r="E4" s="5" t="s">
        <v>47</v>
      </c>
      <c r="F4" s="50" t="s">
        <v>24</v>
      </c>
      <c r="G4" s="65" t="s">
        <v>8</v>
      </c>
      <c r="H4" s="7" t="s">
        <v>14</v>
      </c>
      <c r="I4" s="7" t="s">
        <v>36</v>
      </c>
      <c r="J4" s="33" t="s">
        <v>4</v>
      </c>
      <c r="K4" s="7" t="s">
        <v>346</v>
      </c>
      <c r="L4" s="65" t="s">
        <v>28</v>
      </c>
      <c r="M4" s="65" t="s">
        <v>46</v>
      </c>
      <c r="N4" s="31" t="s">
        <v>23</v>
      </c>
    </row>
    <row r="5" spans="1:15">
      <c r="A5" s="32" t="s">
        <v>50</v>
      </c>
      <c r="B5" s="5"/>
      <c r="C5" s="5"/>
      <c r="D5" s="27"/>
      <c r="E5" s="27"/>
      <c r="F5" s="50" t="s">
        <v>44</v>
      </c>
      <c r="G5" s="65" t="s">
        <v>44</v>
      </c>
      <c r="H5" s="7" t="s">
        <v>9</v>
      </c>
      <c r="I5" s="7" t="s">
        <v>18</v>
      </c>
      <c r="J5" s="33" t="s">
        <v>44</v>
      </c>
      <c r="K5" s="7" t="s">
        <v>18</v>
      </c>
      <c r="L5" s="65" t="s">
        <v>44</v>
      </c>
      <c r="M5" s="65" t="s">
        <v>44</v>
      </c>
      <c r="N5" s="31" t="s">
        <v>5</v>
      </c>
    </row>
    <row r="6" spans="1:15" ht="12.75" thickBot="1">
      <c r="A6" s="401" t="s">
        <v>22</v>
      </c>
      <c r="B6" s="34"/>
      <c r="C6" s="34"/>
      <c r="D6" s="34"/>
      <c r="E6" s="34"/>
      <c r="F6" s="52"/>
      <c r="G6" s="198"/>
      <c r="H6" s="402"/>
      <c r="I6" s="402"/>
      <c r="J6" s="197"/>
      <c r="K6" s="402"/>
      <c r="L6" s="67"/>
      <c r="M6" s="67"/>
      <c r="N6" s="42"/>
    </row>
    <row r="7" spans="1:15" s="14" customFormat="1" ht="13.5" customHeight="1">
      <c r="A7" s="1">
        <v>4585</v>
      </c>
      <c r="B7" s="364" t="s">
        <v>86</v>
      </c>
      <c r="C7" s="1" t="s">
        <v>324</v>
      </c>
      <c r="D7" s="1" t="s">
        <v>262</v>
      </c>
      <c r="E7" s="1" t="s">
        <v>83</v>
      </c>
      <c r="F7" s="396">
        <v>35000000</v>
      </c>
      <c r="G7" s="396">
        <v>35000000</v>
      </c>
      <c r="H7" s="12">
        <v>42431</v>
      </c>
      <c r="I7" s="12">
        <f>H7+35</f>
        <v>42466</v>
      </c>
      <c r="J7" s="396">
        <v>35000000</v>
      </c>
      <c r="K7" s="12">
        <f>H7+180</f>
        <v>42611</v>
      </c>
      <c r="L7" s="84">
        <v>30000000</v>
      </c>
      <c r="M7" s="396">
        <f t="shared" ref="M7:M16" si="0">G7-L7</f>
        <v>5000000</v>
      </c>
      <c r="N7" s="12">
        <v>42595</v>
      </c>
      <c r="O7" s="45"/>
    </row>
    <row r="8" spans="1:15" s="14" customFormat="1" ht="13.5" customHeight="1">
      <c r="A8" s="1">
        <v>4586</v>
      </c>
      <c r="B8" s="364" t="s">
        <v>86</v>
      </c>
      <c r="C8" s="1" t="s">
        <v>324</v>
      </c>
      <c r="D8" s="1" t="s">
        <v>329</v>
      </c>
      <c r="E8" s="1" t="s">
        <v>83</v>
      </c>
      <c r="F8" s="396">
        <v>45000000</v>
      </c>
      <c r="G8" s="396">
        <v>45000000</v>
      </c>
      <c r="H8" s="12">
        <v>42431</v>
      </c>
      <c r="I8" s="12">
        <f t="shared" ref="I8:I21" si="1">H8+35</f>
        <v>42466</v>
      </c>
      <c r="J8" s="396">
        <v>45000000</v>
      </c>
      <c r="K8" s="12">
        <f t="shared" ref="K8:K21" si="2">H8+180</f>
        <v>42611</v>
      </c>
      <c r="L8" s="524">
        <v>45000000</v>
      </c>
      <c r="M8" s="396">
        <f t="shared" si="0"/>
        <v>0</v>
      </c>
      <c r="N8" s="12">
        <v>42608</v>
      </c>
      <c r="O8" s="522"/>
    </row>
    <row r="9" spans="1:15" s="14" customFormat="1" ht="13.5" customHeight="1">
      <c r="A9" s="1">
        <v>4587</v>
      </c>
      <c r="B9" s="364" t="s">
        <v>360</v>
      </c>
      <c r="C9" s="364" t="s">
        <v>292</v>
      </c>
      <c r="D9" s="1" t="s">
        <v>330</v>
      </c>
      <c r="E9" s="1" t="s">
        <v>151</v>
      </c>
      <c r="F9" s="396">
        <v>50000000</v>
      </c>
      <c r="G9" s="396">
        <v>50000000</v>
      </c>
      <c r="H9" s="12">
        <v>42431</v>
      </c>
      <c r="I9" s="12">
        <f t="shared" si="1"/>
        <v>42466</v>
      </c>
      <c r="J9" s="396">
        <v>50000000</v>
      </c>
      <c r="K9" s="12">
        <f t="shared" si="2"/>
        <v>42611</v>
      </c>
      <c r="L9" s="84">
        <v>0</v>
      </c>
      <c r="M9" s="396">
        <f t="shared" si="0"/>
        <v>50000000</v>
      </c>
      <c r="N9" s="12">
        <v>42481</v>
      </c>
      <c r="O9" s="522"/>
    </row>
    <row r="10" spans="1:15" s="14" customFormat="1">
      <c r="A10" s="1">
        <v>4588</v>
      </c>
      <c r="B10" s="364" t="s">
        <v>360</v>
      </c>
      <c r="C10" s="1" t="s">
        <v>334</v>
      </c>
      <c r="D10" s="1" t="s">
        <v>335</v>
      </c>
      <c r="E10" s="1" t="s">
        <v>336</v>
      </c>
      <c r="F10" s="396">
        <v>15000000</v>
      </c>
      <c r="G10" s="396">
        <v>15000000</v>
      </c>
      <c r="H10" s="12">
        <v>42431</v>
      </c>
      <c r="I10" s="12">
        <f t="shared" si="1"/>
        <v>42466</v>
      </c>
      <c r="J10" s="28"/>
      <c r="K10" s="12">
        <f t="shared" si="2"/>
        <v>42611</v>
      </c>
      <c r="L10" s="84">
        <v>0</v>
      </c>
      <c r="M10" s="396">
        <f t="shared" si="0"/>
        <v>15000000</v>
      </c>
      <c r="N10" s="12">
        <v>42433</v>
      </c>
      <c r="O10" s="523"/>
    </row>
    <row r="11" spans="1:15" s="14" customFormat="1" ht="13.5" customHeight="1">
      <c r="A11" s="1">
        <v>4589</v>
      </c>
      <c r="B11" s="364" t="s">
        <v>86</v>
      </c>
      <c r="C11" s="364" t="s">
        <v>292</v>
      </c>
      <c r="D11" s="1" t="s">
        <v>332</v>
      </c>
      <c r="E11" s="1" t="s">
        <v>159</v>
      </c>
      <c r="F11" s="396">
        <v>20000000</v>
      </c>
      <c r="G11" s="396">
        <v>20000000</v>
      </c>
      <c r="H11" s="12">
        <v>42431</v>
      </c>
      <c r="I11" s="12">
        <f t="shared" si="1"/>
        <v>42466</v>
      </c>
      <c r="J11" s="44">
        <v>20000000</v>
      </c>
      <c r="K11" s="12">
        <f t="shared" si="2"/>
        <v>42611</v>
      </c>
      <c r="L11" s="84">
        <v>0</v>
      </c>
      <c r="M11" s="84">
        <f t="shared" si="0"/>
        <v>20000000</v>
      </c>
      <c r="N11" s="12">
        <v>42608</v>
      </c>
      <c r="O11" s="45"/>
    </row>
    <row r="12" spans="1:15" s="14" customFormat="1">
      <c r="A12" s="1">
        <v>4590</v>
      </c>
      <c r="B12" s="364" t="s">
        <v>86</v>
      </c>
      <c r="C12" s="1" t="s">
        <v>224</v>
      </c>
      <c r="D12" s="1" t="s">
        <v>368</v>
      </c>
      <c r="E12" s="1" t="s">
        <v>85</v>
      </c>
      <c r="F12" s="396">
        <v>50000000</v>
      </c>
      <c r="G12" s="396">
        <v>50000000</v>
      </c>
      <c r="H12" s="12">
        <v>42431</v>
      </c>
      <c r="I12" s="12">
        <f t="shared" si="1"/>
        <v>42466</v>
      </c>
      <c r="J12" s="396">
        <v>50000000</v>
      </c>
      <c r="K12" s="12">
        <f t="shared" si="2"/>
        <v>42611</v>
      </c>
      <c r="L12" s="396">
        <v>31000000</v>
      </c>
      <c r="M12" s="396">
        <f t="shared" si="0"/>
        <v>19000000</v>
      </c>
      <c r="N12" s="12">
        <v>42608</v>
      </c>
    </row>
    <row r="13" spans="1:15" s="14" customFormat="1">
      <c r="A13" s="1">
        <v>4591</v>
      </c>
      <c r="B13" s="364" t="s">
        <v>360</v>
      </c>
      <c r="C13" s="1" t="s">
        <v>224</v>
      </c>
      <c r="D13" s="1" t="s">
        <v>378</v>
      </c>
      <c r="E13" s="1" t="s">
        <v>85</v>
      </c>
      <c r="F13" s="396">
        <v>37000000</v>
      </c>
      <c r="G13" s="396">
        <v>37000000</v>
      </c>
      <c r="H13" s="12">
        <v>42431</v>
      </c>
      <c r="I13" s="12">
        <f t="shared" si="1"/>
        <v>42466</v>
      </c>
      <c r="J13" s="396">
        <v>37000000</v>
      </c>
      <c r="K13" s="12">
        <f t="shared" si="2"/>
        <v>42611</v>
      </c>
      <c r="L13" s="396"/>
      <c r="M13" s="396">
        <f t="shared" si="0"/>
        <v>37000000</v>
      </c>
      <c r="N13" s="12">
        <v>42607</v>
      </c>
    </row>
    <row r="14" spans="1:15" s="14" customFormat="1">
      <c r="A14" s="1">
        <v>4592</v>
      </c>
      <c r="B14" s="364" t="s">
        <v>86</v>
      </c>
      <c r="C14" s="1" t="s">
        <v>297</v>
      </c>
      <c r="D14" s="1" t="s">
        <v>384</v>
      </c>
      <c r="E14" s="1" t="s">
        <v>84</v>
      </c>
      <c r="F14" s="396">
        <v>30000000</v>
      </c>
      <c r="G14" s="396">
        <v>30000000</v>
      </c>
      <c r="H14" s="12">
        <v>42431</v>
      </c>
      <c r="I14" s="12">
        <f t="shared" si="1"/>
        <v>42466</v>
      </c>
      <c r="J14" s="396">
        <v>30000000</v>
      </c>
      <c r="K14" s="12">
        <f t="shared" si="2"/>
        <v>42611</v>
      </c>
      <c r="L14" s="396">
        <v>30000000</v>
      </c>
      <c r="M14" s="396">
        <f t="shared" si="0"/>
        <v>0</v>
      </c>
      <c r="N14" s="12">
        <v>42608</v>
      </c>
    </row>
    <row r="15" spans="1:15" s="14" customFormat="1" ht="13.5" customHeight="1">
      <c r="A15" s="1">
        <v>4600</v>
      </c>
      <c r="B15" s="364" t="s">
        <v>360</v>
      </c>
      <c r="C15" s="1" t="s">
        <v>324</v>
      </c>
      <c r="D15" s="1" t="s">
        <v>387</v>
      </c>
      <c r="E15" s="1" t="s">
        <v>388</v>
      </c>
      <c r="F15" s="396">
        <v>35000000</v>
      </c>
      <c r="G15" s="396">
        <v>35000000</v>
      </c>
      <c r="H15" s="12">
        <v>42467</v>
      </c>
      <c r="I15" s="12">
        <f t="shared" si="1"/>
        <v>42502</v>
      </c>
      <c r="J15" s="396">
        <v>34000000</v>
      </c>
      <c r="K15" s="12">
        <f t="shared" si="2"/>
        <v>42647</v>
      </c>
      <c r="L15" s="84"/>
      <c r="M15" s="396">
        <f t="shared" si="0"/>
        <v>35000000</v>
      </c>
      <c r="N15" s="12">
        <v>42616</v>
      </c>
      <c r="O15" s="124"/>
    </row>
    <row r="16" spans="1:15" s="14" customFormat="1">
      <c r="A16" s="1">
        <v>4601</v>
      </c>
      <c r="B16" s="364" t="s">
        <v>86</v>
      </c>
      <c r="C16" s="1" t="s">
        <v>391</v>
      </c>
      <c r="D16" s="1" t="s">
        <v>392</v>
      </c>
      <c r="E16" s="1" t="s">
        <v>393</v>
      </c>
      <c r="F16" s="396">
        <v>35000000</v>
      </c>
      <c r="G16" s="396">
        <v>35000000</v>
      </c>
      <c r="H16" s="12">
        <v>42467</v>
      </c>
      <c r="I16" s="12">
        <f t="shared" si="1"/>
        <v>42502</v>
      </c>
      <c r="J16" s="396">
        <v>35000000</v>
      </c>
      <c r="K16" s="12">
        <f t="shared" si="2"/>
        <v>42647</v>
      </c>
      <c r="L16" s="44">
        <v>33000000</v>
      </c>
      <c r="M16" s="396">
        <f t="shared" si="0"/>
        <v>2000000</v>
      </c>
      <c r="N16" s="12">
        <v>42643</v>
      </c>
    </row>
    <row r="17" spans="1:14" s="14" customFormat="1">
      <c r="A17" s="207">
        <v>4602</v>
      </c>
      <c r="B17" s="364" t="s">
        <v>360</v>
      </c>
      <c r="C17" s="1" t="s">
        <v>224</v>
      </c>
      <c r="D17" s="1" t="s">
        <v>404</v>
      </c>
      <c r="E17" s="1" t="s">
        <v>85</v>
      </c>
      <c r="F17" s="396">
        <v>20000000</v>
      </c>
      <c r="G17" s="396">
        <v>20000000</v>
      </c>
      <c r="H17" s="12">
        <v>42467</v>
      </c>
      <c r="I17" s="12">
        <f t="shared" si="1"/>
        <v>42502</v>
      </c>
      <c r="J17" s="396">
        <v>20000000</v>
      </c>
      <c r="K17" s="12">
        <f t="shared" si="2"/>
        <v>42647</v>
      </c>
      <c r="L17" s="84">
        <v>0</v>
      </c>
      <c r="M17" s="396">
        <f>G17-L17</f>
        <v>20000000</v>
      </c>
      <c r="N17" s="12">
        <v>42588</v>
      </c>
    </row>
    <row r="18" spans="1:14" s="14" customFormat="1">
      <c r="A18" s="207">
        <v>4606</v>
      </c>
      <c r="B18" s="364" t="s">
        <v>86</v>
      </c>
      <c r="C18" s="45" t="s">
        <v>224</v>
      </c>
      <c r="D18" s="45" t="s">
        <v>407</v>
      </c>
      <c r="E18" s="45" t="s">
        <v>85</v>
      </c>
      <c r="F18" s="2">
        <v>25000000</v>
      </c>
      <c r="G18" s="2">
        <v>25000000</v>
      </c>
      <c r="H18" s="148">
        <v>42482</v>
      </c>
      <c r="I18" s="148">
        <f t="shared" si="1"/>
        <v>42517</v>
      </c>
      <c r="J18" s="2">
        <v>25000000</v>
      </c>
      <c r="K18" s="469">
        <f t="shared" si="2"/>
        <v>42662</v>
      </c>
      <c r="L18" s="84">
        <v>21250000</v>
      </c>
      <c r="M18" s="64">
        <f>J18-L18</f>
        <v>3750000</v>
      </c>
      <c r="N18" s="12">
        <v>42655</v>
      </c>
    </row>
    <row r="19" spans="1:14" s="14" customFormat="1">
      <c r="A19" s="1">
        <v>4628</v>
      </c>
      <c r="B19" s="364" t="s">
        <v>360</v>
      </c>
      <c r="C19" s="1" t="s">
        <v>409</v>
      </c>
      <c r="D19" s="1" t="s">
        <v>410</v>
      </c>
      <c r="E19" s="1" t="s">
        <v>411</v>
      </c>
      <c r="F19" s="396">
        <v>20000000</v>
      </c>
      <c r="G19" s="396">
        <v>20000000</v>
      </c>
      <c r="H19" s="148">
        <v>42552</v>
      </c>
      <c r="I19" s="148">
        <f t="shared" si="1"/>
        <v>42587</v>
      </c>
      <c r="J19" s="396">
        <v>16000000</v>
      </c>
      <c r="K19" s="469">
        <f t="shared" si="2"/>
        <v>42732</v>
      </c>
      <c r="L19" s="84"/>
      <c r="M19" s="396">
        <f>G19-L19</f>
        <v>20000000</v>
      </c>
      <c r="N19" s="12">
        <v>42689</v>
      </c>
    </row>
    <row r="20" spans="1:14" s="14" customFormat="1">
      <c r="A20" s="1">
        <v>4629</v>
      </c>
      <c r="B20" s="364" t="s">
        <v>86</v>
      </c>
      <c r="C20" s="1" t="s">
        <v>279</v>
      </c>
      <c r="D20" s="1" t="s">
        <v>300</v>
      </c>
      <c r="E20" s="1" t="s">
        <v>84</v>
      </c>
      <c r="F20" s="396">
        <v>12000000</v>
      </c>
      <c r="G20" s="396">
        <v>12000000</v>
      </c>
      <c r="H20" s="148">
        <v>42552</v>
      </c>
      <c r="I20" s="148">
        <f t="shared" si="1"/>
        <v>42587</v>
      </c>
      <c r="J20" s="396">
        <v>12000000</v>
      </c>
      <c r="K20" s="469">
        <f t="shared" si="2"/>
        <v>42732</v>
      </c>
      <c r="L20" s="84">
        <v>9000000</v>
      </c>
      <c r="M20" s="396">
        <f t="shared" ref="M20" si="3">G20-L20</f>
        <v>3000000</v>
      </c>
      <c r="N20" s="12">
        <v>42648</v>
      </c>
    </row>
    <row r="21" spans="1:14">
      <c r="A21" s="207">
        <v>4635</v>
      </c>
      <c r="B21" s="364" t="s">
        <v>80</v>
      </c>
      <c r="C21" s="45" t="s">
        <v>324</v>
      </c>
      <c r="D21" s="45" t="s">
        <v>414</v>
      </c>
      <c r="E21" s="45" t="s">
        <v>83</v>
      </c>
      <c r="F21" s="44">
        <v>30000000</v>
      </c>
      <c r="G21" s="44">
        <v>30000000</v>
      </c>
      <c r="H21" s="12">
        <v>42563</v>
      </c>
      <c r="I21" s="148">
        <f t="shared" si="1"/>
        <v>42598</v>
      </c>
      <c r="J21" s="44">
        <v>30000000</v>
      </c>
      <c r="K21" s="12">
        <f t="shared" si="2"/>
        <v>42743</v>
      </c>
      <c r="L21" s="359"/>
      <c r="M21" s="359"/>
      <c r="N21" s="12"/>
    </row>
    <row r="22" spans="1:14">
      <c r="A22" s="45" t="s">
        <v>425</v>
      </c>
      <c r="B22" s="45" t="s">
        <v>45</v>
      </c>
      <c r="C22" s="250" t="s">
        <v>260</v>
      </c>
      <c r="D22" s="45" t="s">
        <v>424</v>
      </c>
      <c r="E22" s="45" t="s">
        <v>83</v>
      </c>
      <c r="F22" s="44"/>
      <c r="G22" s="359"/>
      <c r="H22" s="124"/>
      <c r="I22" s="124"/>
      <c r="J22" s="359"/>
      <c r="K22" s="124"/>
      <c r="L22" s="359"/>
      <c r="M22" s="359"/>
      <c r="N22" s="12"/>
    </row>
    <row r="23" spans="1:14">
      <c r="A23" s="207">
        <v>4607</v>
      </c>
      <c r="B23" s="364" t="s">
        <v>360</v>
      </c>
      <c r="C23" s="250" t="s">
        <v>292</v>
      </c>
      <c r="D23" s="45" t="s">
        <v>431</v>
      </c>
      <c r="E23" s="45" t="s">
        <v>151</v>
      </c>
      <c r="F23" s="44">
        <v>17500000</v>
      </c>
      <c r="G23" s="44">
        <v>17500000</v>
      </c>
      <c r="H23" s="148">
        <v>42482</v>
      </c>
      <c r="I23" s="148">
        <f t="shared" ref="I23" si="4">H23+35</f>
        <v>42517</v>
      </c>
      <c r="J23" s="84">
        <v>0</v>
      </c>
      <c r="K23" s="469">
        <f t="shared" ref="K23" si="5">H23+180</f>
        <v>42662</v>
      </c>
      <c r="L23" s="359">
        <v>0</v>
      </c>
      <c r="M23" s="396">
        <f>G23-L23</f>
        <v>17500000</v>
      </c>
      <c r="N23" s="12">
        <v>42515</v>
      </c>
    </row>
    <row r="24" spans="1:14">
      <c r="A24" s="45" t="s">
        <v>432</v>
      </c>
      <c r="B24" s="45" t="s">
        <v>45</v>
      </c>
      <c r="C24" s="250" t="s">
        <v>315</v>
      </c>
      <c r="D24" s="45" t="s">
        <v>433</v>
      </c>
      <c r="E24" s="45" t="s">
        <v>317</v>
      </c>
      <c r="F24" s="44"/>
      <c r="G24" s="480"/>
      <c r="H24" s="124"/>
      <c r="I24" s="124"/>
      <c r="J24" s="480"/>
      <c r="K24" s="124"/>
      <c r="L24" s="359"/>
      <c r="M24" s="359"/>
      <c r="N24" s="12"/>
    </row>
    <row r="25" spans="1:14">
      <c r="A25" s="45" t="s">
        <v>439</v>
      </c>
      <c r="B25" s="45" t="s">
        <v>45</v>
      </c>
      <c r="C25" s="364" t="s">
        <v>292</v>
      </c>
      <c r="D25" s="1" t="s">
        <v>330</v>
      </c>
      <c r="E25" s="1" t="s">
        <v>151</v>
      </c>
      <c r="F25" s="396"/>
      <c r="G25" s="359"/>
      <c r="H25" s="124"/>
      <c r="I25" s="124"/>
      <c r="J25" s="359"/>
      <c r="K25" s="124"/>
      <c r="L25" s="359"/>
      <c r="M25" s="359"/>
      <c r="N25" s="12"/>
    </row>
    <row r="26" spans="1:14">
      <c r="A26" s="45" t="s">
        <v>447</v>
      </c>
      <c r="B26" s="45" t="s">
        <v>45</v>
      </c>
      <c r="C26" s="364" t="s">
        <v>444</v>
      </c>
      <c r="D26" s="1" t="s">
        <v>445</v>
      </c>
      <c r="E26" s="1" t="s">
        <v>446</v>
      </c>
      <c r="F26" s="396"/>
      <c r="G26" s="359"/>
      <c r="H26" s="124"/>
      <c r="I26" s="124"/>
      <c r="J26" s="359"/>
      <c r="K26" s="124"/>
      <c r="L26" s="359"/>
      <c r="M26" s="359"/>
      <c r="N26" s="12"/>
    </row>
    <row r="27" spans="1:14">
      <c r="A27" s="45" t="s">
        <v>448</v>
      </c>
      <c r="B27" s="45" t="s">
        <v>45</v>
      </c>
      <c r="C27" s="45" t="s">
        <v>224</v>
      </c>
      <c r="D27" s="1" t="s">
        <v>449</v>
      </c>
      <c r="E27" s="1" t="s">
        <v>85</v>
      </c>
      <c r="F27" s="396"/>
      <c r="G27" s="359"/>
      <c r="H27" s="124"/>
      <c r="I27" s="124"/>
      <c r="J27" s="359"/>
      <c r="K27" s="124"/>
      <c r="L27" s="359"/>
      <c r="M27" s="359"/>
      <c r="N27" s="12"/>
    </row>
    <row r="28" spans="1:14">
      <c r="A28" s="45" t="s">
        <v>452</v>
      </c>
      <c r="B28" s="45" t="s">
        <v>45</v>
      </c>
      <c r="C28" s="45" t="s">
        <v>324</v>
      </c>
      <c r="D28" s="1" t="s">
        <v>451</v>
      </c>
      <c r="E28" s="1" t="s">
        <v>83</v>
      </c>
      <c r="F28" s="396"/>
      <c r="G28" s="359"/>
      <c r="H28" s="124"/>
      <c r="I28" s="124"/>
      <c r="J28" s="359"/>
      <c r="K28" s="124"/>
      <c r="L28" s="359"/>
      <c r="M28" s="359"/>
      <c r="N28" s="12"/>
    </row>
    <row r="29" spans="1:14">
      <c r="A29" s="45" t="s">
        <v>456</v>
      </c>
      <c r="B29" s="45" t="s">
        <v>45</v>
      </c>
      <c r="C29" s="45" t="s">
        <v>457</v>
      </c>
      <c r="D29" s="1" t="s">
        <v>458</v>
      </c>
      <c r="E29" s="1" t="s">
        <v>82</v>
      </c>
      <c r="F29" s="396"/>
      <c r="G29" s="359"/>
      <c r="H29" s="124"/>
      <c r="I29" s="124"/>
      <c r="J29" s="359"/>
      <c r="K29" s="124"/>
      <c r="L29" s="359"/>
      <c r="M29" s="359"/>
      <c r="N29" s="12"/>
    </row>
    <row r="30" spans="1:14">
      <c r="A30" s="45" t="s">
        <v>459</v>
      </c>
      <c r="B30" s="45" t="s">
        <v>45</v>
      </c>
      <c r="C30" s="45" t="s">
        <v>457</v>
      </c>
      <c r="D30" s="1" t="s">
        <v>460</v>
      </c>
      <c r="E30" s="1" t="s">
        <v>82</v>
      </c>
      <c r="F30" s="396"/>
      <c r="G30" s="359"/>
      <c r="H30" s="124"/>
      <c r="I30" s="124"/>
      <c r="J30" s="359"/>
      <c r="K30" s="124"/>
      <c r="L30" s="359"/>
      <c r="M30" s="359"/>
      <c r="N30" s="12"/>
    </row>
    <row r="31" spans="1:14">
      <c r="A31" s="45" t="s">
        <v>461</v>
      </c>
      <c r="B31" s="45" t="s">
        <v>45</v>
      </c>
      <c r="C31" s="45" t="s">
        <v>260</v>
      </c>
      <c r="D31" s="1" t="s">
        <v>462</v>
      </c>
      <c r="E31" s="1" t="s">
        <v>83</v>
      </c>
      <c r="F31" s="396"/>
      <c r="G31" s="359"/>
      <c r="H31" s="124"/>
      <c r="I31" s="124"/>
      <c r="J31" s="359"/>
      <c r="K31" s="124"/>
      <c r="L31" s="359"/>
      <c r="M31" s="359"/>
      <c r="N31" s="12"/>
    </row>
    <row r="32" spans="1:14">
      <c r="A32" s="45" t="s">
        <v>467</v>
      </c>
      <c r="B32" s="45" t="s">
        <v>45</v>
      </c>
      <c r="C32" s="45" t="s">
        <v>324</v>
      </c>
      <c r="D32" s="1" t="s">
        <v>470</v>
      </c>
      <c r="E32" s="1" t="s">
        <v>83</v>
      </c>
      <c r="F32" s="396"/>
      <c r="G32" s="359"/>
      <c r="H32" s="124"/>
      <c r="I32" s="124"/>
      <c r="J32" s="359"/>
      <c r="K32" s="124"/>
      <c r="L32" s="359"/>
      <c r="M32" s="359"/>
      <c r="N32" s="12"/>
    </row>
    <row r="33" spans="1:14">
      <c r="A33" s="45" t="s">
        <v>479</v>
      </c>
      <c r="B33" s="45" t="s">
        <v>45</v>
      </c>
      <c r="C33" s="45" t="s">
        <v>381</v>
      </c>
      <c r="D33" s="45" t="s">
        <v>380</v>
      </c>
      <c r="E33" s="45" t="s">
        <v>230</v>
      </c>
      <c r="F33" s="396"/>
      <c r="G33" s="359"/>
      <c r="H33" s="124"/>
      <c r="I33" s="124"/>
      <c r="J33" s="359"/>
      <c r="K33" s="124"/>
      <c r="L33" s="359"/>
      <c r="M33" s="359"/>
      <c r="N33" s="12"/>
    </row>
    <row r="34" spans="1:14">
      <c r="A34" s="45" t="s">
        <v>484</v>
      </c>
      <c r="B34" s="45" t="s">
        <v>45</v>
      </c>
      <c r="C34" s="1" t="s">
        <v>391</v>
      </c>
      <c r="D34" s="45" t="s">
        <v>483</v>
      </c>
      <c r="E34" s="45" t="s">
        <v>393</v>
      </c>
      <c r="F34" s="396"/>
      <c r="G34" s="359"/>
      <c r="H34" s="124"/>
      <c r="I34" s="124"/>
      <c r="J34" s="359"/>
      <c r="K34" s="124"/>
      <c r="L34" s="359"/>
      <c r="M34" s="359"/>
      <c r="N34" s="12"/>
    </row>
    <row r="35" spans="1:14">
      <c r="A35" s="45" t="s">
        <v>489</v>
      </c>
      <c r="B35" s="45" t="s">
        <v>45</v>
      </c>
      <c r="C35" s="1" t="s">
        <v>292</v>
      </c>
      <c r="D35" s="45" t="s">
        <v>332</v>
      </c>
      <c r="E35" s="45" t="s">
        <v>159</v>
      </c>
      <c r="F35" s="396"/>
      <c r="G35" s="359"/>
      <c r="H35" s="124"/>
      <c r="I35" s="124"/>
      <c r="J35" s="359"/>
      <c r="K35" s="124"/>
      <c r="L35" s="359"/>
      <c r="M35" s="359"/>
      <c r="N35" s="12"/>
    </row>
    <row r="36" spans="1:14">
      <c r="A36" s="45" t="s">
        <v>494</v>
      </c>
      <c r="B36" s="45" t="s">
        <v>45</v>
      </c>
      <c r="C36" s="1" t="s">
        <v>292</v>
      </c>
      <c r="D36" s="45" t="s">
        <v>495</v>
      </c>
      <c r="E36" s="45" t="s">
        <v>496</v>
      </c>
      <c r="F36" s="396"/>
      <c r="G36" s="359"/>
      <c r="H36" s="124"/>
      <c r="I36" s="124"/>
      <c r="J36" s="359"/>
      <c r="K36" s="124"/>
      <c r="L36" s="359"/>
      <c r="M36" s="359"/>
      <c r="N36" s="12"/>
    </row>
    <row r="37" spans="1:14">
      <c r="A37" s="45" t="s">
        <v>499</v>
      </c>
      <c r="B37" s="45" t="s">
        <v>45</v>
      </c>
      <c r="C37" s="1" t="s">
        <v>497</v>
      </c>
      <c r="D37" s="45" t="s">
        <v>498</v>
      </c>
      <c r="E37" s="45" t="s">
        <v>85</v>
      </c>
      <c r="F37" s="396"/>
      <c r="G37" s="359"/>
      <c r="H37" s="124"/>
      <c r="I37" s="124"/>
      <c r="J37" s="359"/>
      <c r="K37" s="124"/>
      <c r="L37" s="359"/>
      <c r="M37" s="359"/>
      <c r="N37" s="12"/>
    </row>
    <row r="38" spans="1:14">
      <c r="A38" s="45" t="s">
        <v>517</v>
      </c>
      <c r="B38" s="45" t="s">
        <v>45</v>
      </c>
      <c r="C38" s="250" t="s">
        <v>540</v>
      </c>
      <c r="D38" s="45" t="s">
        <v>518</v>
      </c>
      <c r="E38" s="45" t="s">
        <v>83</v>
      </c>
      <c r="F38" s="396"/>
      <c r="G38" s="359"/>
      <c r="H38" s="124"/>
      <c r="I38" s="124"/>
      <c r="J38" s="359"/>
      <c r="K38" s="124"/>
      <c r="L38" s="359"/>
      <c r="M38" s="359"/>
      <c r="N38" s="12"/>
    </row>
    <row r="39" spans="1:14">
      <c r="A39" s="45" t="s">
        <v>529</v>
      </c>
      <c r="B39" s="45" t="s">
        <v>45</v>
      </c>
      <c r="C39" s="45" t="s">
        <v>224</v>
      </c>
      <c r="D39" s="45" t="s">
        <v>530</v>
      </c>
      <c r="E39" s="45" t="s">
        <v>85</v>
      </c>
      <c r="F39" s="396"/>
      <c r="G39" s="359"/>
      <c r="H39" s="124"/>
      <c r="I39" s="124"/>
      <c r="J39" s="359"/>
      <c r="K39" s="124"/>
      <c r="L39" s="359"/>
      <c r="M39" s="359"/>
      <c r="N39" s="12"/>
    </row>
    <row r="40" spans="1:14">
      <c r="A40" s="45" t="s">
        <v>531</v>
      </c>
      <c r="B40" s="45" t="s">
        <v>45</v>
      </c>
      <c r="C40" s="1" t="s">
        <v>224</v>
      </c>
      <c r="D40" s="1" t="s">
        <v>404</v>
      </c>
      <c r="E40" s="1" t="s">
        <v>85</v>
      </c>
      <c r="F40" s="396"/>
      <c r="G40" s="359"/>
      <c r="H40" s="124"/>
      <c r="I40" s="124"/>
      <c r="J40" s="359"/>
      <c r="K40" s="124"/>
      <c r="L40" s="359"/>
      <c r="M40" s="359"/>
      <c r="N40" s="12"/>
    </row>
    <row r="41" spans="1:14" s="45" customFormat="1">
      <c r="A41" s="45" t="s">
        <v>539</v>
      </c>
      <c r="B41" s="45" t="s">
        <v>45</v>
      </c>
      <c r="C41" s="250" t="s">
        <v>540</v>
      </c>
      <c r="D41" s="45" t="s">
        <v>543</v>
      </c>
      <c r="E41" s="45" t="s">
        <v>83</v>
      </c>
      <c r="F41" s="515"/>
      <c r="G41" s="513"/>
      <c r="H41" s="505"/>
      <c r="I41" s="124"/>
      <c r="J41" s="514"/>
      <c r="K41" s="124"/>
      <c r="L41" s="514"/>
      <c r="M41" s="514"/>
      <c r="N41" s="124"/>
    </row>
    <row r="42" spans="1:14" s="45" customFormat="1">
      <c r="A42" s="45" t="s">
        <v>551</v>
      </c>
      <c r="B42" s="45" t="s">
        <v>45</v>
      </c>
      <c r="C42" s="250" t="s">
        <v>324</v>
      </c>
      <c r="D42" s="45" t="s">
        <v>552</v>
      </c>
      <c r="E42" s="45" t="s">
        <v>388</v>
      </c>
      <c r="F42" s="515"/>
      <c r="G42" s="513"/>
      <c r="H42" s="505"/>
      <c r="I42" s="124"/>
      <c r="J42" s="514"/>
      <c r="K42" s="124"/>
      <c r="L42" s="514"/>
      <c r="M42" s="514"/>
      <c r="N42" s="124"/>
    </row>
    <row r="43" spans="1:14" s="4" customFormat="1">
      <c r="A43" s="5"/>
      <c r="B43" s="54"/>
      <c r="C43" s="250"/>
      <c r="D43" s="5"/>
      <c r="E43" s="5"/>
      <c r="F43" s="109"/>
      <c r="G43" s="109"/>
      <c r="H43" s="8"/>
      <c r="I43" s="8"/>
      <c r="J43" s="109"/>
      <c r="K43" s="8"/>
      <c r="L43" s="109"/>
      <c r="M43" s="109"/>
      <c r="N43" s="7"/>
    </row>
    <row r="44" spans="1:14">
      <c r="A44" s="14"/>
      <c r="B44" s="45"/>
      <c r="D44" s="14" t="s">
        <v>19</v>
      </c>
      <c r="E44" s="14"/>
      <c r="F44" s="376">
        <f>SUM(F7:F43)</f>
        <v>476500000</v>
      </c>
      <c r="G44" s="376">
        <f>SUM(G7:G43)</f>
        <v>476500000</v>
      </c>
      <c r="H44" s="85"/>
      <c r="I44" s="85"/>
      <c r="J44" s="376">
        <f>SUM(J7:J43)</f>
        <v>439000000</v>
      </c>
      <c r="K44" s="85"/>
      <c r="L44" s="376">
        <f>SUM(L7:L43)</f>
        <v>199250000</v>
      </c>
      <c r="M44" s="376">
        <f>SUM(M7:M43)</f>
        <v>247250000</v>
      </c>
      <c r="N44" s="14"/>
    </row>
    <row r="45" spans="1:14">
      <c r="A45" s="14"/>
      <c r="B45" s="45"/>
      <c r="C45" s="14"/>
      <c r="D45" s="14"/>
      <c r="E45" s="14"/>
      <c r="F45" s="81"/>
      <c r="G45" s="43"/>
      <c r="H45" s="12"/>
      <c r="I45" s="12"/>
      <c r="J45" s="83"/>
      <c r="K45" s="12"/>
      <c r="L45" s="68"/>
      <c r="M45" s="68"/>
      <c r="N45" s="14"/>
    </row>
    <row r="46" spans="1:14">
      <c r="A46" s="14"/>
      <c r="B46" s="45"/>
      <c r="C46" s="14"/>
      <c r="D46" s="14" t="s">
        <v>45</v>
      </c>
      <c r="E46" s="14"/>
      <c r="F46" s="68">
        <f>F44-G44</f>
        <v>0</v>
      </c>
      <c r="G46" s="43"/>
      <c r="H46" s="14"/>
      <c r="I46" s="14"/>
      <c r="J46" s="83"/>
      <c r="K46" s="12"/>
      <c r="L46" s="68"/>
      <c r="M46" s="68"/>
      <c r="N46" s="14"/>
    </row>
    <row r="47" spans="1:14">
      <c r="A47" s="14"/>
      <c r="B47" s="45"/>
      <c r="C47" s="14"/>
      <c r="D47" s="14"/>
      <c r="E47" s="14"/>
      <c r="F47" s="81"/>
      <c r="G47" s="43"/>
      <c r="H47" s="14"/>
      <c r="I47" s="14"/>
      <c r="J47" s="74"/>
      <c r="K47" s="12"/>
      <c r="L47" s="68"/>
      <c r="M47" s="68"/>
      <c r="N47" s="14"/>
    </row>
    <row r="48" spans="1:14">
      <c r="D48" s="70" t="s">
        <v>10</v>
      </c>
      <c r="E48" s="14"/>
      <c r="F48" s="356">
        <f>+C1-G44+M44+E53</f>
        <v>187725279</v>
      </c>
      <c r="G48" s="131" t="s">
        <v>570</v>
      </c>
      <c r="J48" s="105"/>
    </row>
    <row r="49" spans="3:10">
      <c r="J49" s="261"/>
    </row>
    <row r="50" spans="3:10">
      <c r="C50" s="364"/>
      <c r="D50" s="14"/>
      <c r="E50" s="305"/>
      <c r="F50" s="296"/>
      <c r="G50" s="261"/>
      <c r="J50" s="105"/>
    </row>
    <row r="51" spans="3:10">
      <c r="C51" s="364"/>
      <c r="D51" s="14"/>
      <c r="E51" s="305"/>
      <c r="F51" s="297"/>
      <c r="G51" s="378"/>
    </row>
    <row r="52" spans="3:10">
      <c r="D52" s="14"/>
      <c r="E52" s="97"/>
      <c r="F52" s="297"/>
      <c r="G52" s="378"/>
    </row>
    <row r="53" spans="3:10">
      <c r="E53" s="471">
        <f>SUM(E50:E52)</f>
        <v>0</v>
      </c>
      <c r="F53" s="297"/>
      <c r="G53" s="378"/>
    </row>
    <row r="54" spans="3:10">
      <c r="D54" s="364"/>
      <c r="E54" s="2"/>
      <c r="F54" s="4" t="s">
        <v>408</v>
      </c>
      <c r="G54" s="297"/>
    </row>
    <row r="55" spans="3:10">
      <c r="D55" s="364"/>
      <c r="E55" s="2"/>
    </row>
    <row r="56" spans="3:10">
      <c r="D56" s="45"/>
      <c r="E56" s="2"/>
      <c r="F56" s="261"/>
      <c r="G56" s="261"/>
    </row>
    <row r="57" spans="3:10">
      <c r="E57" s="305"/>
    </row>
  </sheetData>
  <pageMargins left="0.7" right="0.7" top="0.75" bottom="0.75" header="0.3" footer="0.3"/>
  <pageSetup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23"/>
  <sheetViews>
    <sheetView zoomScaleNormal="100" workbookViewId="0">
      <pane xSplit="1" ySplit="6" topLeftCell="B7" activePane="bottomRight" state="frozen"/>
      <selection activeCell="K30" sqref="I28:K30"/>
      <selection pane="topRight" activeCell="K30" sqref="I28:K30"/>
      <selection pane="bottomLeft" activeCell="K30" sqref="I28:K30"/>
      <selection pane="bottomRight" activeCell="G13" sqref="G13"/>
    </sheetView>
  </sheetViews>
  <sheetFormatPr defaultColWidth="10.85546875" defaultRowHeight="12"/>
  <cols>
    <col min="1" max="1" width="14.5703125" style="14" bestFit="1" customWidth="1"/>
    <col min="2" max="2" width="11" style="14" bestFit="1" customWidth="1"/>
    <col min="3" max="3" width="22.42578125" style="14" bestFit="1" customWidth="1"/>
    <col min="4" max="4" width="28.42578125" style="14" bestFit="1" customWidth="1"/>
    <col min="5" max="5" width="10" style="14" bestFit="1" customWidth="1"/>
    <col min="6" max="6" width="12.7109375" style="13" bestFit="1" customWidth="1"/>
    <col min="7" max="7" width="12.85546875" style="43" bestFit="1" customWidth="1"/>
    <col min="8" max="8" width="13.7109375" style="14" customWidth="1"/>
    <col min="9" max="9" width="12.140625" style="14" bestFit="1" customWidth="1"/>
    <col min="10" max="10" width="12" style="74" bestFit="1" customWidth="1"/>
    <col min="11" max="11" width="11.28515625" style="12" bestFit="1" customWidth="1"/>
    <col min="12" max="12" width="12.5703125" style="68" bestFit="1" customWidth="1"/>
    <col min="13" max="13" width="13.140625" style="13" bestFit="1" customWidth="1"/>
    <col min="14" max="14" width="9.5703125" style="14" bestFit="1" customWidth="1"/>
    <col min="15" max="16384" width="10.85546875" style="14"/>
  </cols>
  <sheetData>
    <row r="1" spans="1:20" s="25" customFormat="1">
      <c r="A1" s="211" t="s">
        <v>12</v>
      </c>
      <c r="C1" s="396">
        <v>20923029.034600001</v>
      </c>
      <c r="D1" s="217"/>
      <c r="E1" s="233"/>
      <c r="F1" s="63"/>
      <c r="G1" s="71"/>
      <c r="H1" s="23"/>
      <c r="I1" s="23"/>
      <c r="J1" s="72"/>
      <c r="K1" s="23"/>
      <c r="L1" s="63"/>
      <c r="M1" s="46"/>
      <c r="N1" s="212"/>
      <c r="O1" s="14"/>
      <c r="P1" s="5"/>
      <c r="Q1" s="5"/>
      <c r="R1" s="5"/>
      <c r="S1" s="5"/>
      <c r="T1" s="5"/>
    </row>
    <row r="2" spans="1:20">
      <c r="A2" s="213" t="s">
        <v>72</v>
      </c>
      <c r="C2" s="37"/>
      <c r="D2" s="218"/>
      <c r="E2" s="37"/>
      <c r="F2" s="14"/>
      <c r="G2" s="44"/>
      <c r="H2" s="12"/>
      <c r="I2" s="12"/>
      <c r="J2" s="73"/>
      <c r="L2" s="64"/>
      <c r="M2" s="48"/>
      <c r="N2" s="92"/>
      <c r="P2" s="5"/>
      <c r="Q2" s="5"/>
      <c r="R2" s="5"/>
      <c r="S2" s="5"/>
      <c r="T2" s="5"/>
    </row>
    <row r="3" spans="1:20">
      <c r="A3" s="214"/>
      <c r="F3" s="48"/>
      <c r="G3" s="44"/>
      <c r="H3" s="12"/>
      <c r="I3" s="12"/>
      <c r="J3" s="73"/>
      <c r="L3" s="64"/>
      <c r="M3" s="48"/>
      <c r="N3" s="92"/>
      <c r="P3" s="5"/>
      <c r="Q3" s="5"/>
      <c r="R3" s="5"/>
      <c r="S3" s="5"/>
      <c r="T3" s="5"/>
    </row>
    <row r="4" spans="1:20" s="5" customFormat="1">
      <c r="A4" s="214" t="s">
        <v>34</v>
      </c>
      <c r="B4" s="14" t="s">
        <v>39</v>
      </c>
      <c r="C4" s="14" t="s">
        <v>32</v>
      </c>
      <c r="D4" s="37" t="s">
        <v>51</v>
      </c>
      <c r="E4" s="14" t="s">
        <v>47</v>
      </c>
      <c r="F4" s="48" t="s">
        <v>24</v>
      </c>
      <c r="G4" s="64" t="s">
        <v>8</v>
      </c>
      <c r="H4" s="12" t="s">
        <v>14</v>
      </c>
      <c r="I4" s="12" t="s">
        <v>36</v>
      </c>
      <c r="J4" s="28" t="s">
        <v>4</v>
      </c>
      <c r="K4" s="12" t="s">
        <v>346</v>
      </c>
      <c r="L4" s="64" t="s">
        <v>28</v>
      </c>
      <c r="M4" s="48" t="s">
        <v>46</v>
      </c>
      <c r="N4" s="92" t="s">
        <v>23</v>
      </c>
      <c r="O4" s="14"/>
    </row>
    <row r="5" spans="1:20" s="5" customFormat="1">
      <c r="A5" s="214" t="s">
        <v>50</v>
      </c>
      <c r="B5" s="14"/>
      <c r="C5" s="14"/>
      <c r="D5" s="37"/>
      <c r="E5" s="37"/>
      <c r="F5" s="48" t="s">
        <v>44</v>
      </c>
      <c r="G5" s="64" t="s">
        <v>44</v>
      </c>
      <c r="H5" s="12" t="s">
        <v>9</v>
      </c>
      <c r="I5" s="12" t="s">
        <v>18</v>
      </c>
      <c r="J5" s="28" t="s">
        <v>44</v>
      </c>
      <c r="K5" s="12" t="s">
        <v>18</v>
      </c>
      <c r="L5" s="64" t="s">
        <v>44</v>
      </c>
      <c r="M5" s="48" t="s">
        <v>44</v>
      </c>
      <c r="N5" s="92" t="s">
        <v>5</v>
      </c>
      <c r="O5" s="14"/>
    </row>
    <row r="6" spans="1:20" ht="12.75" thickBot="1">
      <c r="A6" s="234" t="s">
        <v>22</v>
      </c>
      <c r="B6" s="39"/>
      <c r="C6" s="39"/>
      <c r="D6" s="39"/>
      <c r="E6" s="39"/>
      <c r="F6" s="56"/>
      <c r="G6" s="78"/>
      <c r="H6" s="106"/>
      <c r="I6" s="106"/>
      <c r="J6" s="107"/>
      <c r="K6" s="106"/>
      <c r="L6" s="69"/>
      <c r="M6" s="56"/>
      <c r="N6" s="108"/>
    </row>
    <row r="7" spans="1:20" s="1" customFormat="1">
      <c r="A7" s="14">
        <v>4582</v>
      </c>
      <c r="B7" s="1" t="s">
        <v>86</v>
      </c>
      <c r="C7" s="1" t="s">
        <v>398</v>
      </c>
      <c r="D7" s="1" t="s">
        <v>485</v>
      </c>
      <c r="E7" s="1" t="s">
        <v>399</v>
      </c>
      <c r="F7" s="526">
        <v>16750000</v>
      </c>
      <c r="G7" s="526">
        <v>16750000</v>
      </c>
      <c r="H7" s="3">
        <v>42426</v>
      </c>
      <c r="I7" s="3">
        <f>H7+35</f>
        <v>42461</v>
      </c>
      <c r="J7" s="526">
        <v>16750000</v>
      </c>
      <c r="K7" s="3">
        <f>H7+180</f>
        <v>42606</v>
      </c>
      <c r="L7" s="526">
        <v>13000000</v>
      </c>
      <c r="M7" s="526">
        <f>J7-L7</f>
        <v>3750000</v>
      </c>
      <c r="N7" s="3">
        <v>42606</v>
      </c>
    </row>
    <row r="8" spans="1:20">
      <c r="B8" s="45"/>
      <c r="C8" s="192"/>
      <c r="D8" s="1"/>
      <c r="E8" s="45"/>
      <c r="F8" s="84"/>
      <c r="G8" s="84"/>
      <c r="H8" s="12"/>
      <c r="I8" s="12"/>
      <c r="J8" s="84"/>
      <c r="L8" s="81"/>
      <c r="M8" s="81"/>
      <c r="N8" s="12"/>
    </row>
    <row r="9" spans="1:20">
      <c r="A9" s="45"/>
      <c r="B9" s="45"/>
      <c r="C9" s="1"/>
      <c r="D9" s="14" t="s">
        <v>19</v>
      </c>
      <c r="F9" s="478">
        <f>SUM(F7:F8)</f>
        <v>16750000</v>
      </c>
      <c r="G9" s="478">
        <f>SUM(G7:G8)</f>
        <v>16750000</v>
      </c>
      <c r="H9" s="11"/>
      <c r="I9" s="11"/>
      <c r="J9" s="478">
        <f>SUM(J7:J8)</f>
        <v>16750000</v>
      </c>
      <c r="K9" s="11"/>
      <c r="L9" s="478">
        <f>SUM(L7:L8)</f>
        <v>13000000</v>
      </c>
      <c r="M9" s="478">
        <f>SUM(M7:M8)</f>
        <v>3750000</v>
      </c>
    </row>
    <row r="10" spans="1:20">
      <c r="B10" s="45"/>
      <c r="F10" s="81"/>
    </row>
    <row r="11" spans="1:20">
      <c r="B11" s="45"/>
      <c r="D11" s="14" t="s">
        <v>45</v>
      </c>
      <c r="F11" s="81">
        <v>0</v>
      </c>
    </row>
    <row r="12" spans="1:20" ht="15">
      <c r="B12" s="45"/>
      <c r="L12" s="189"/>
    </row>
    <row r="13" spans="1:20">
      <c r="B13" s="45"/>
      <c r="D13" s="70" t="s">
        <v>10</v>
      </c>
      <c r="F13" s="87">
        <f>+C1-G9+M9</f>
        <v>7923029.0346000008</v>
      </c>
      <c r="G13" s="131" t="s">
        <v>570</v>
      </c>
    </row>
    <row r="14" spans="1:20">
      <c r="B14" s="45"/>
    </row>
    <row r="15" spans="1:20">
      <c r="C15" s="70"/>
      <c r="D15" s="70"/>
      <c r="E15" s="70"/>
      <c r="F15" s="36"/>
    </row>
    <row r="16" spans="1:20">
      <c r="A16" s="45"/>
      <c r="B16" s="45"/>
    </row>
    <row r="17" spans="1:7">
      <c r="C17" s="45"/>
      <c r="D17" s="45"/>
      <c r="E17" s="45"/>
      <c r="F17" s="45"/>
      <c r="G17" s="60"/>
    </row>
    <row r="18" spans="1:7">
      <c r="A18" s="125"/>
      <c r="B18" s="125"/>
    </row>
    <row r="19" spans="1:7">
      <c r="C19" s="125"/>
      <c r="D19" s="125"/>
      <c r="E19" s="125"/>
      <c r="F19" s="125"/>
      <c r="G19" s="182"/>
    </row>
    <row r="20" spans="1:7">
      <c r="A20" s="124"/>
      <c r="B20" s="124"/>
    </row>
    <row r="21" spans="1:7">
      <c r="C21" s="124"/>
      <c r="D21" s="206"/>
      <c r="E21" s="124"/>
      <c r="F21" s="124"/>
    </row>
    <row r="22" spans="1:7">
      <c r="A22" s="124"/>
      <c r="B22" s="124"/>
    </row>
    <row r="23" spans="1:7">
      <c r="C23" s="124"/>
      <c r="D23" s="124"/>
      <c r="E23" s="124"/>
      <c r="F23" s="124"/>
    </row>
  </sheetData>
  <pageMargins left="0.75" right="0.75" top="1" bottom="1" header="0.5" footer="0.5"/>
  <pageSetup scale="75" fitToWidth="2" fitToHeight="3" orientation="landscape" horizontalDpi="4294967292" verticalDpi="4294967292" r:id="rId1"/>
  <headerFooter alignWithMargins="0"/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2"/>
  <sheetViews>
    <sheetView zoomScaleNormal="100" workbookViewId="0">
      <pane xSplit="1" ySplit="6" topLeftCell="B7" activePane="bottomRight" state="frozen"/>
      <selection activeCell="K30" sqref="I28:K30"/>
      <selection pane="topRight" activeCell="K30" sqref="I28:K30"/>
      <selection pane="bottomLeft" activeCell="K30" sqref="I28:K30"/>
      <selection pane="bottomRight" activeCell="G12" sqref="G12"/>
    </sheetView>
  </sheetViews>
  <sheetFormatPr defaultColWidth="10.85546875" defaultRowHeight="12"/>
  <cols>
    <col min="1" max="1" width="13.42578125" style="14" bestFit="1" customWidth="1"/>
    <col min="2" max="2" width="7.85546875" style="14" bestFit="1" customWidth="1"/>
    <col min="3" max="3" width="21.5703125" style="14" customWidth="1"/>
    <col min="4" max="4" width="24.28515625" style="14" customWidth="1"/>
    <col min="5" max="5" width="8.5703125" style="14" customWidth="1"/>
    <col min="6" max="6" width="12.7109375" style="13" bestFit="1" customWidth="1"/>
    <col min="7" max="7" width="12" style="43" bestFit="1" customWidth="1"/>
    <col min="8" max="8" width="13.7109375" style="14" customWidth="1"/>
    <col min="9" max="9" width="12.140625" style="14" bestFit="1" customWidth="1"/>
    <col min="10" max="10" width="12" style="74" bestFit="1" customWidth="1"/>
    <col min="11" max="11" width="11.28515625" style="12" bestFit="1" customWidth="1"/>
    <col min="12" max="12" width="12.5703125" style="68" bestFit="1" customWidth="1"/>
    <col min="13" max="13" width="13.140625" style="13" bestFit="1" customWidth="1"/>
    <col min="14" max="14" width="9.5703125" style="14" bestFit="1" customWidth="1"/>
    <col min="15" max="16384" width="10.85546875" style="14"/>
  </cols>
  <sheetData>
    <row r="1" spans="1:20" s="25" customFormat="1">
      <c r="A1" s="211" t="s">
        <v>12</v>
      </c>
      <c r="C1" s="397">
        <v>14713253.037700001</v>
      </c>
      <c r="D1" s="217"/>
      <c r="E1" s="233"/>
      <c r="F1" s="63"/>
      <c r="G1" s="71"/>
      <c r="H1" s="23"/>
      <c r="I1" s="23"/>
      <c r="J1" s="72"/>
      <c r="K1" s="23"/>
      <c r="L1" s="63"/>
      <c r="M1" s="46"/>
      <c r="N1" s="212"/>
      <c r="O1" s="5"/>
      <c r="P1" s="5"/>
      <c r="Q1" s="5"/>
      <c r="R1" s="5"/>
      <c r="S1" s="5"/>
      <c r="T1" s="5"/>
    </row>
    <row r="2" spans="1:20">
      <c r="A2" s="213" t="s">
        <v>73</v>
      </c>
      <c r="C2" s="37"/>
      <c r="D2" s="218"/>
      <c r="E2" s="37"/>
      <c r="F2" s="14"/>
      <c r="G2" s="44"/>
      <c r="H2" s="12"/>
      <c r="I2" s="12"/>
      <c r="J2" s="73"/>
      <c r="L2" s="64"/>
      <c r="M2" s="48"/>
      <c r="N2" s="92"/>
      <c r="O2" s="5"/>
      <c r="P2" s="5"/>
      <c r="Q2" s="5"/>
      <c r="R2" s="5"/>
      <c r="S2" s="5"/>
      <c r="T2" s="5"/>
    </row>
    <row r="3" spans="1:20">
      <c r="A3" s="214"/>
      <c r="F3" s="48"/>
      <c r="G3" s="44"/>
      <c r="H3" s="12"/>
      <c r="I3" s="12"/>
      <c r="J3" s="73"/>
      <c r="L3" s="64"/>
      <c r="M3" s="48"/>
      <c r="N3" s="92"/>
      <c r="O3" s="5"/>
      <c r="P3" s="5"/>
      <c r="Q3" s="5"/>
      <c r="R3" s="5"/>
      <c r="S3" s="5"/>
      <c r="T3" s="5"/>
    </row>
    <row r="4" spans="1:20" s="5" customFormat="1">
      <c r="A4" s="214" t="s">
        <v>34</v>
      </c>
      <c r="B4" s="14" t="s">
        <v>39</v>
      </c>
      <c r="C4" s="14" t="s">
        <v>32</v>
      </c>
      <c r="D4" s="37" t="s">
        <v>51</v>
      </c>
      <c r="E4" s="14" t="s">
        <v>47</v>
      </c>
      <c r="F4" s="48" t="s">
        <v>24</v>
      </c>
      <c r="G4" s="64" t="s">
        <v>8</v>
      </c>
      <c r="H4" s="12" t="s">
        <v>14</v>
      </c>
      <c r="I4" s="12" t="s">
        <v>36</v>
      </c>
      <c r="J4" s="28" t="s">
        <v>4</v>
      </c>
      <c r="K4" s="12" t="s">
        <v>346</v>
      </c>
      <c r="L4" s="64" t="s">
        <v>28</v>
      </c>
      <c r="M4" s="48" t="s">
        <v>46</v>
      </c>
      <c r="N4" s="92" t="s">
        <v>23</v>
      </c>
    </row>
    <row r="5" spans="1:20" s="5" customFormat="1">
      <c r="A5" s="214" t="s">
        <v>50</v>
      </c>
      <c r="B5" s="14"/>
      <c r="C5" s="14"/>
      <c r="D5" s="37"/>
      <c r="E5" s="37"/>
      <c r="F5" s="48" t="s">
        <v>44</v>
      </c>
      <c r="G5" s="64" t="s">
        <v>44</v>
      </c>
      <c r="H5" s="12" t="s">
        <v>9</v>
      </c>
      <c r="I5" s="12" t="s">
        <v>18</v>
      </c>
      <c r="J5" s="28" t="s">
        <v>44</v>
      </c>
      <c r="K5" s="12" t="s">
        <v>18</v>
      </c>
      <c r="L5" s="64" t="s">
        <v>44</v>
      </c>
      <c r="M5" s="48" t="s">
        <v>44</v>
      </c>
      <c r="N5" s="92" t="s">
        <v>5</v>
      </c>
    </row>
    <row r="6" spans="1:20" ht="12.75" thickBot="1">
      <c r="A6" s="234" t="s">
        <v>22</v>
      </c>
      <c r="B6" s="39"/>
      <c r="C6" s="39"/>
      <c r="D6" s="39"/>
      <c r="E6" s="39"/>
      <c r="F6" s="56"/>
      <c r="G6" s="78"/>
      <c r="H6" s="106"/>
      <c r="I6" s="106"/>
      <c r="J6" s="107"/>
      <c r="K6" s="106"/>
      <c r="L6" s="69"/>
      <c r="M6" s="56"/>
      <c r="N6" s="108"/>
    </row>
    <row r="7" spans="1:20">
      <c r="B7" s="45"/>
      <c r="C7" s="192"/>
      <c r="D7" s="1"/>
      <c r="E7" s="45"/>
      <c r="F7" s="84"/>
      <c r="G7" s="84"/>
      <c r="H7" s="12"/>
      <c r="I7" s="12"/>
      <c r="J7" s="84"/>
      <c r="L7" s="81"/>
      <c r="M7" s="81"/>
      <c r="N7" s="12"/>
    </row>
    <row r="8" spans="1:20">
      <c r="A8" s="45"/>
      <c r="B8" s="45"/>
      <c r="C8" s="1"/>
      <c r="D8" s="14" t="s">
        <v>19</v>
      </c>
      <c r="F8" s="110">
        <f>SUM(F7:F7)</f>
        <v>0</v>
      </c>
      <c r="G8" s="110">
        <f>SUM(G7:G7)</f>
        <v>0</v>
      </c>
      <c r="J8" s="110">
        <f>SUM(J7:J7)</f>
        <v>0</v>
      </c>
      <c r="L8" s="110">
        <f>SUM(L7:L7)</f>
        <v>0</v>
      </c>
      <c r="M8" s="110">
        <f>SUM(M7:M7)</f>
        <v>0</v>
      </c>
    </row>
    <row r="9" spans="1:20">
      <c r="B9" s="45"/>
      <c r="F9" s="81"/>
    </row>
    <row r="10" spans="1:20">
      <c r="B10" s="45"/>
      <c r="D10" s="14" t="s">
        <v>45</v>
      </c>
      <c r="F10" s="81">
        <v>0</v>
      </c>
    </row>
    <row r="11" spans="1:20" ht="15">
      <c r="B11" s="45"/>
      <c r="L11" s="189"/>
    </row>
    <row r="12" spans="1:20">
      <c r="B12" s="45"/>
      <c r="D12" s="70" t="s">
        <v>10</v>
      </c>
      <c r="F12" s="87">
        <f>+C1-G8+M8</f>
        <v>14713253.037700001</v>
      </c>
      <c r="G12" s="131" t="s">
        <v>570</v>
      </c>
    </row>
    <row r="13" spans="1:20">
      <c r="B13" s="45"/>
    </row>
    <row r="14" spans="1:20">
      <c r="C14" s="70"/>
      <c r="D14" s="70"/>
      <c r="E14" s="70"/>
      <c r="F14" s="36"/>
    </row>
    <row r="15" spans="1:20">
      <c r="A15" s="45"/>
      <c r="B15" s="45"/>
    </row>
    <row r="16" spans="1:20">
      <c r="C16" s="45"/>
      <c r="D16" s="45"/>
      <c r="E16" s="45"/>
      <c r="F16" s="45"/>
      <c r="G16" s="60"/>
    </row>
    <row r="17" spans="1:7">
      <c r="A17" s="125"/>
      <c r="B17" s="125"/>
    </row>
    <row r="18" spans="1:7">
      <c r="C18" s="125"/>
      <c r="D18" s="125"/>
      <c r="E18" s="125"/>
      <c r="F18" s="125"/>
      <c r="G18" s="182"/>
    </row>
    <row r="19" spans="1:7">
      <c r="A19" s="124"/>
      <c r="B19" s="124"/>
    </row>
    <row r="20" spans="1:7">
      <c r="C20" s="124"/>
      <c r="D20" s="206"/>
      <c r="E20" s="124"/>
      <c r="F20" s="124"/>
    </row>
    <row r="21" spans="1:7">
      <c r="A21" s="124"/>
      <c r="B21" s="124"/>
    </row>
    <row r="22" spans="1:7">
      <c r="C22" s="124"/>
      <c r="D22" s="124"/>
      <c r="E22" s="124"/>
      <c r="F22" s="124"/>
    </row>
  </sheetData>
  <pageMargins left="0.75" right="0.75" top="1" bottom="1" header="0.5" footer="0.5"/>
  <pageSetup scale="75" fitToWidth="2" fitToHeight="3" orientation="landscape" horizontalDpi="4294967292" verticalDpi="4294967292" r:id="rId1"/>
  <headerFooter alignWithMargins="0"/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T30"/>
  <sheetViews>
    <sheetView zoomScaleNormal="100" workbookViewId="0">
      <pane xSplit="1" ySplit="6" topLeftCell="B7" activePane="bottomRight" state="frozen"/>
      <selection activeCell="K30" sqref="I28:K30"/>
      <selection pane="topRight" activeCell="K30" sqref="I28:K30"/>
      <selection pane="bottomLeft" activeCell="K30" sqref="I28:K30"/>
      <selection pane="bottomRight" activeCell="D27" sqref="D27"/>
    </sheetView>
  </sheetViews>
  <sheetFormatPr defaultColWidth="10.85546875" defaultRowHeight="12"/>
  <cols>
    <col min="1" max="1" width="14.42578125" style="14" bestFit="1" customWidth="1"/>
    <col min="2" max="2" width="11" style="14" bestFit="1" customWidth="1"/>
    <col min="3" max="3" width="43.42578125" style="14" bestFit="1" customWidth="1"/>
    <col min="4" max="4" width="26.7109375" style="14" bestFit="1" customWidth="1"/>
    <col min="5" max="5" width="10.85546875" style="14" bestFit="1" customWidth="1"/>
    <col min="6" max="6" width="12.85546875" style="13" bestFit="1" customWidth="1"/>
    <col min="7" max="7" width="12.85546875" style="43" bestFit="1" customWidth="1"/>
    <col min="8" max="8" width="13.7109375" style="14" customWidth="1"/>
    <col min="9" max="9" width="10.140625" style="14" bestFit="1" customWidth="1"/>
    <col min="10" max="10" width="12.5703125" style="74" bestFit="1" customWidth="1"/>
    <col min="11" max="11" width="11.42578125" style="12" bestFit="1" customWidth="1"/>
    <col min="12" max="12" width="12.5703125" style="68" bestFit="1" customWidth="1"/>
    <col min="13" max="13" width="13.140625" style="13" bestFit="1" customWidth="1"/>
    <col min="14" max="14" width="9.5703125" style="14" bestFit="1" customWidth="1"/>
    <col min="15" max="16384" width="10.85546875" style="14"/>
  </cols>
  <sheetData>
    <row r="1" spans="1:20" s="25" customFormat="1">
      <c r="A1" s="211" t="s">
        <v>12</v>
      </c>
      <c r="C1" s="396">
        <v>147244418.23280001</v>
      </c>
      <c r="D1" s="233"/>
      <c r="E1" s="233"/>
      <c r="F1" s="63"/>
      <c r="G1" s="71"/>
      <c r="H1" s="23"/>
      <c r="I1" s="23"/>
      <c r="J1" s="72"/>
      <c r="K1" s="23"/>
      <c r="L1" s="63"/>
      <c r="M1" s="46"/>
      <c r="N1" s="212"/>
      <c r="O1" s="5"/>
      <c r="P1" s="5"/>
      <c r="Q1" s="5"/>
      <c r="R1" s="5"/>
      <c r="S1" s="5"/>
      <c r="T1" s="5"/>
    </row>
    <row r="2" spans="1:20">
      <c r="A2" s="213" t="s">
        <v>42</v>
      </c>
      <c r="C2" s="37"/>
      <c r="D2" s="218"/>
      <c r="E2" s="37"/>
      <c r="F2" s="14"/>
      <c r="G2" s="44"/>
      <c r="H2" s="12"/>
      <c r="I2" s="12"/>
      <c r="J2" s="73"/>
      <c r="L2" s="64"/>
      <c r="M2" s="48"/>
      <c r="N2" s="92"/>
      <c r="O2" s="5"/>
      <c r="P2" s="5"/>
      <c r="Q2" s="5"/>
      <c r="R2" s="5"/>
      <c r="S2" s="5"/>
      <c r="T2" s="5"/>
    </row>
    <row r="3" spans="1:20">
      <c r="A3" s="214"/>
      <c r="F3" s="48"/>
      <c r="G3" s="44"/>
      <c r="H3" s="12"/>
      <c r="I3" s="12"/>
      <c r="J3" s="73"/>
      <c r="L3" s="64"/>
      <c r="M3" s="48"/>
      <c r="N3" s="92"/>
      <c r="O3" s="5"/>
      <c r="P3" s="5"/>
      <c r="Q3" s="5"/>
      <c r="R3" s="5"/>
      <c r="S3" s="5"/>
      <c r="T3" s="5"/>
    </row>
    <row r="4" spans="1:20" s="5" customFormat="1">
      <c r="A4" s="214" t="s">
        <v>34</v>
      </c>
      <c r="B4" s="14" t="s">
        <v>39</v>
      </c>
      <c r="C4" s="14" t="s">
        <v>32</v>
      </c>
      <c r="D4" s="37" t="s">
        <v>51</v>
      </c>
      <c r="E4" s="14" t="s">
        <v>47</v>
      </c>
      <c r="F4" s="48" t="s">
        <v>24</v>
      </c>
      <c r="G4" s="64" t="s">
        <v>8</v>
      </c>
      <c r="H4" s="12" t="s">
        <v>14</v>
      </c>
      <c r="I4" s="12" t="s">
        <v>36</v>
      </c>
      <c r="J4" s="28" t="s">
        <v>4</v>
      </c>
      <c r="K4" s="12" t="s">
        <v>346</v>
      </c>
      <c r="L4" s="64" t="s">
        <v>28</v>
      </c>
      <c r="M4" s="48" t="s">
        <v>46</v>
      </c>
      <c r="N4" s="92" t="s">
        <v>23</v>
      </c>
    </row>
    <row r="5" spans="1:20" s="5" customFormat="1">
      <c r="A5" s="214" t="s">
        <v>50</v>
      </c>
      <c r="B5" s="14"/>
      <c r="C5" s="14"/>
      <c r="D5" s="37"/>
      <c r="E5" s="37"/>
      <c r="F5" s="48" t="s">
        <v>44</v>
      </c>
      <c r="G5" s="64" t="s">
        <v>44</v>
      </c>
      <c r="H5" s="12" t="s">
        <v>9</v>
      </c>
      <c r="I5" s="12" t="s">
        <v>18</v>
      </c>
      <c r="J5" s="28" t="s">
        <v>44</v>
      </c>
      <c r="K5" s="12" t="s">
        <v>18</v>
      </c>
      <c r="L5" s="64" t="s">
        <v>44</v>
      </c>
      <c r="M5" s="48" t="s">
        <v>44</v>
      </c>
      <c r="N5" s="92" t="s">
        <v>5</v>
      </c>
    </row>
    <row r="6" spans="1:20" ht="12.75" thickBot="1">
      <c r="A6" s="234" t="s">
        <v>22</v>
      </c>
      <c r="B6" s="39"/>
      <c r="C6" s="39"/>
      <c r="D6" s="39"/>
      <c r="E6" s="39"/>
      <c r="F6" s="56"/>
      <c r="G6" s="78"/>
      <c r="H6" s="106"/>
      <c r="I6" s="106"/>
      <c r="J6" s="107"/>
      <c r="K6" s="106"/>
      <c r="L6" s="69"/>
      <c r="M6" s="56"/>
      <c r="N6" s="108"/>
    </row>
    <row r="7" spans="1:20">
      <c r="A7" s="14">
        <v>4536</v>
      </c>
      <c r="B7" s="14" t="s">
        <v>360</v>
      </c>
      <c r="C7" s="45" t="s">
        <v>286</v>
      </c>
      <c r="D7" s="45" t="s">
        <v>287</v>
      </c>
      <c r="E7" s="45" t="s">
        <v>288</v>
      </c>
      <c r="F7" s="84">
        <v>25000000</v>
      </c>
      <c r="G7" s="84">
        <v>25000000</v>
      </c>
      <c r="H7" s="12">
        <v>42370</v>
      </c>
      <c r="I7" s="12">
        <f t="shared" ref="I7:I12" si="0">H7+35</f>
        <v>42405</v>
      </c>
      <c r="J7" s="84">
        <v>25000000</v>
      </c>
      <c r="K7" s="12">
        <f t="shared" ref="K7:K12" si="1">H7+180</f>
        <v>42550</v>
      </c>
      <c r="L7" s="84"/>
      <c r="M7" s="84">
        <f t="shared" ref="M7:M12" si="2">J7-L7</f>
        <v>25000000</v>
      </c>
      <c r="N7" s="12">
        <v>42427</v>
      </c>
    </row>
    <row r="8" spans="1:20">
      <c r="A8" s="14">
        <v>4548</v>
      </c>
      <c r="B8" s="1" t="s">
        <v>86</v>
      </c>
      <c r="C8" s="45" t="s">
        <v>153</v>
      </c>
      <c r="D8" s="45" t="s">
        <v>308</v>
      </c>
      <c r="E8" s="45" t="s">
        <v>87</v>
      </c>
      <c r="F8" s="365">
        <v>32000000</v>
      </c>
      <c r="G8" s="365">
        <v>32000000</v>
      </c>
      <c r="H8" s="12">
        <v>42371</v>
      </c>
      <c r="I8" s="12">
        <f t="shared" si="0"/>
        <v>42406</v>
      </c>
      <c r="J8" s="365">
        <v>32000000</v>
      </c>
      <c r="K8" s="12">
        <f t="shared" si="1"/>
        <v>42551</v>
      </c>
      <c r="L8" s="84">
        <v>28750000</v>
      </c>
      <c r="M8" s="84">
        <f t="shared" si="2"/>
        <v>3250000</v>
      </c>
      <c r="N8" s="12">
        <v>42550</v>
      </c>
    </row>
    <row r="9" spans="1:20">
      <c r="A9" s="14">
        <v>4554</v>
      </c>
      <c r="B9" s="1" t="s">
        <v>395</v>
      </c>
      <c r="C9" s="45" t="s">
        <v>315</v>
      </c>
      <c r="D9" s="45" t="s">
        <v>316</v>
      </c>
      <c r="E9" s="45" t="s">
        <v>317</v>
      </c>
      <c r="F9" s="365">
        <v>33000000</v>
      </c>
      <c r="G9" s="365">
        <v>33000000</v>
      </c>
      <c r="H9" s="12">
        <v>42374</v>
      </c>
      <c r="I9" s="12">
        <f t="shared" si="0"/>
        <v>42409</v>
      </c>
      <c r="J9" s="365">
        <v>33000000</v>
      </c>
      <c r="K9" s="12">
        <f t="shared" si="1"/>
        <v>42554</v>
      </c>
      <c r="L9" s="84"/>
      <c r="M9" s="84">
        <f t="shared" si="2"/>
        <v>33000000</v>
      </c>
      <c r="N9" s="495">
        <v>42554</v>
      </c>
    </row>
    <row r="10" spans="1:20">
      <c r="A10" s="14">
        <v>4572</v>
      </c>
      <c r="B10" s="1" t="s">
        <v>360</v>
      </c>
      <c r="C10" s="45" t="s">
        <v>381</v>
      </c>
      <c r="D10" s="45" t="s">
        <v>380</v>
      </c>
      <c r="E10" s="45" t="s">
        <v>230</v>
      </c>
      <c r="F10" s="365">
        <v>20000000</v>
      </c>
      <c r="G10" s="365">
        <v>20000000</v>
      </c>
      <c r="H10" s="12">
        <v>42406</v>
      </c>
      <c r="I10" s="12">
        <f t="shared" si="0"/>
        <v>42441</v>
      </c>
      <c r="J10" s="365">
        <v>20000000</v>
      </c>
      <c r="K10" s="12">
        <f t="shared" si="1"/>
        <v>42586</v>
      </c>
      <c r="L10" s="84"/>
      <c r="M10" s="84">
        <f t="shared" si="2"/>
        <v>20000000</v>
      </c>
      <c r="N10" s="495">
        <v>42546</v>
      </c>
    </row>
    <row r="11" spans="1:20">
      <c r="A11" s="14">
        <v>4573</v>
      </c>
      <c r="B11" s="1" t="s">
        <v>86</v>
      </c>
      <c r="C11" s="45" t="s">
        <v>153</v>
      </c>
      <c r="D11" s="45" t="s">
        <v>382</v>
      </c>
      <c r="E11" s="45" t="s">
        <v>87</v>
      </c>
      <c r="F11" s="365">
        <v>30000000</v>
      </c>
      <c r="G11" s="365">
        <v>30000000</v>
      </c>
      <c r="H11" s="12">
        <v>42406</v>
      </c>
      <c r="I11" s="12">
        <f t="shared" si="0"/>
        <v>42441</v>
      </c>
      <c r="J11" s="365">
        <v>30000000</v>
      </c>
      <c r="K11" s="12">
        <f t="shared" si="1"/>
        <v>42586</v>
      </c>
      <c r="L11" s="365">
        <v>30000000</v>
      </c>
      <c r="M11" s="84">
        <f t="shared" si="2"/>
        <v>0</v>
      </c>
      <c r="N11" s="495">
        <v>42584</v>
      </c>
    </row>
    <row r="12" spans="1:20">
      <c r="A12" s="14">
        <v>4584</v>
      </c>
      <c r="B12" s="1" t="s">
        <v>86</v>
      </c>
      <c r="C12" s="45" t="s">
        <v>286</v>
      </c>
      <c r="D12" s="45" t="s">
        <v>287</v>
      </c>
      <c r="E12" s="45" t="s">
        <v>288</v>
      </c>
      <c r="F12" s="365">
        <v>25000000</v>
      </c>
      <c r="G12" s="365">
        <v>25000000</v>
      </c>
      <c r="H12" s="12">
        <v>42431</v>
      </c>
      <c r="I12" s="12">
        <f t="shared" si="0"/>
        <v>42466</v>
      </c>
      <c r="J12" s="365">
        <v>25000000</v>
      </c>
      <c r="K12" s="12">
        <f t="shared" si="1"/>
        <v>42611</v>
      </c>
      <c r="L12" s="84">
        <v>5000000</v>
      </c>
      <c r="M12" s="84">
        <f t="shared" si="2"/>
        <v>20000000</v>
      </c>
      <c r="N12" s="495">
        <v>42587</v>
      </c>
      <c r="O12" s="14" t="s">
        <v>481</v>
      </c>
    </row>
    <row r="13" spans="1:20" s="5" customFormat="1">
      <c r="B13" s="4"/>
      <c r="C13" s="54"/>
      <c r="D13" s="54"/>
      <c r="E13" s="54"/>
      <c r="F13" s="457"/>
      <c r="G13" s="457"/>
      <c r="H13" s="7"/>
      <c r="I13" s="7"/>
      <c r="J13" s="109"/>
      <c r="K13" s="7"/>
      <c r="L13" s="109"/>
      <c r="M13" s="109"/>
      <c r="N13" s="472"/>
    </row>
    <row r="14" spans="1:20">
      <c r="B14" s="45"/>
      <c r="C14" s="45"/>
      <c r="D14" s="45"/>
      <c r="F14" s="84"/>
      <c r="G14" s="84"/>
      <c r="H14" s="12"/>
      <c r="I14" s="12"/>
      <c r="J14" s="35"/>
      <c r="L14" s="84"/>
      <c r="M14" s="84"/>
      <c r="N14" s="12"/>
    </row>
    <row r="15" spans="1:20">
      <c r="A15" s="45"/>
      <c r="B15" s="45"/>
      <c r="C15" s="1"/>
      <c r="D15" s="14" t="s">
        <v>19</v>
      </c>
      <c r="F15" s="86">
        <f>SUM(F7:F14)</f>
        <v>165000000</v>
      </c>
      <c r="G15" s="86">
        <f>SUM(G7:G14)</f>
        <v>165000000</v>
      </c>
      <c r="J15" s="86">
        <f>SUM(J7:J14)</f>
        <v>165000000</v>
      </c>
      <c r="L15" s="86">
        <f>SUM(L7:L14)</f>
        <v>63750000</v>
      </c>
      <c r="M15" s="86">
        <f>SUM(M7:M14)</f>
        <v>101250000</v>
      </c>
    </row>
    <row r="16" spans="1:20">
      <c r="B16" s="45"/>
      <c r="F16" s="81"/>
    </row>
    <row r="17" spans="1:12" ht="15">
      <c r="B17" s="45"/>
      <c r="D17" s="14" t="s">
        <v>45</v>
      </c>
      <c r="F17" s="35">
        <f>F15-G15</f>
        <v>0</v>
      </c>
      <c r="L17" s="189"/>
    </row>
    <row r="18" spans="1:12">
      <c r="B18" s="45"/>
      <c r="D18" s="5"/>
      <c r="F18" s="93"/>
    </row>
    <row r="19" spans="1:12">
      <c r="B19" s="45"/>
      <c r="D19" s="5"/>
      <c r="F19" s="93"/>
    </row>
    <row r="20" spans="1:12">
      <c r="B20" s="45"/>
      <c r="D20" s="70" t="s">
        <v>10</v>
      </c>
      <c r="F20" s="87">
        <f>+C1-G15+M15+E24</f>
        <v>83494418.232800007</v>
      </c>
      <c r="G20" s="131" t="s">
        <v>570</v>
      </c>
    </row>
    <row r="21" spans="1:12">
      <c r="B21" s="45"/>
    </row>
    <row r="22" spans="1:12">
      <c r="C22" s="207"/>
      <c r="D22" s="207"/>
      <c r="E22" s="207"/>
      <c r="F22" s="36"/>
    </row>
    <row r="23" spans="1:12">
      <c r="A23" s="45"/>
      <c r="B23" s="45"/>
    </row>
    <row r="24" spans="1:12">
      <c r="C24" s="45"/>
      <c r="D24" s="45"/>
      <c r="E24" s="456"/>
      <c r="F24" s="295"/>
      <c r="G24" s="60"/>
      <c r="H24" s="12"/>
    </row>
    <row r="25" spans="1:12">
      <c r="A25" s="125"/>
      <c r="B25" s="125"/>
    </row>
    <row r="26" spans="1:12">
      <c r="C26" s="125"/>
      <c r="D26" s="125"/>
      <c r="E26" s="125"/>
      <c r="F26" s="125"/>
      <c r="G26" s="182"/>
    </row>
    <row r="27" spans="1:12">
      <c r="A27" s="124"/>
      <c r="B27" s="124"/>
    </row>
    <row r="28" spans="1:12">
      <c r="C28" s="124"/>
      <c r="D28" s="206"/>
      <c r="E28" s="124"/>
      <c r="F28" s="206"/>
    </row>
    <row r="29" spans="1:12">
      <c r="A29" s="124"/>
      <c r="B29" s="124"/>
    </row>
    <row r="30" spans="1:12">
      <c r="C30" s="124"/>
      <c r="D30" s="124"/>
      <c r="E30" s="124"/>
      <c r="F30" s="124"/>
    </row>
  </sheetData>
  <phoneticPr fontId="0" type="noConversion"/>
  <pageMargins left="0.75" right="0.75" top="1" bottom="1" header="0.5" footer="0.5"/>
  <pageSetup scale="75" fitToWidth="2" fitToHeight="3" orientation="landscape" horizontalDpi="4294967292" verticalDpi="4294967292" r:id="rId1"/>
  <headerFooter alignWithMargins="0"/>
  <colBreaks count="1" manualBreakCount="1">
    <brk id="1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6"/>
  <sheetViews>
    <sheetView zoomScaleNormal="100" workbookViewId="0">
      <selection activeCell="G12" sqref="G12"/>
    </sheetView>
  </sheetViews>
  <sheetFormatPr defaultColWidth="10.85546875" defaultRowHeight="12"/>
  <cols>
    <col min="1" max="1" width="8.28515625" style="14" customWidth="1"/>
    <col min="2" max="2" width="7.85546875" style="14" bestFit="1" customWidth="1"/>
    <col min="3" max="3" width="16" style="14" bestFit="1" customWidth="1"/>
    <col min="4" max="4" width="17.42578125" style="14" customWidth="1"/>
    <col min="5" max="5" width="10.7109375" style="14" bestFit="1" customWidth="1"/>
    <col min="6" max="6" width="13" style="13" bestFit="1" customWidth="1"/>
    <col min="7" max="7" width="12.140625" style="36" bestFit="1" customWidth="1"/>
    <col min="8" max="8" width="13.7109375" style="14" customWidth="1"/>
    <col min="9" max="9" width="10.42578125" style="14" bestFit="1" customWidth="1"/>
    <col min="10" max="10" width="12.140625" style="36" bestFit="1" customWidth="1"/>
    <col min="11" max="11" width="9.7109375" style="14" bestFit="1" customWidth="1"/>
    <col min="12" max="12" width="12.5703125" style="13" bestFit="1" customWidth="1"/>
    <col min="13" max="13" width="12" style="13" bestFit="1" customWidth="1"/>
    <col min="14" max="14" width="12" style="14" bestFit="1" customWidth="1"/>
    <col min="15" max="16384" width="10.85546875" style="14"/>
  </cols>
  <sheetData>
    <row r="1" spans="1:20" s="25" customFormat="1">
      <c r="A1" s="211" t="s">
        <v>12</v>
      </c>
      <c r="B1" s="204"/>
      <c r="C1" s="63">
        <v>27244692.8873</v>
      </c>
      <c r="D1" s="217"/>
      <c r="E1" s="22"/>
      <c r="F1" s="46"/>
      <c r="G1" s="47"/>
      <c r="K1" s="23"/>
      <c r="L1" s="46"/>
      <c r="M1" s="46"/>
      <c r="N1" s="212"/>
      <c r="O1" s="5"/>
      <c r="P1" s="5"/>
      <c r="Q1" s="5"/>
      <c r="R1" s="5"/>
      <c r="S1" s="5"/>
      <c r="T1" s="5"/>
    </row>
    <row r="2" spans="1:20">
      <c r="A2" s="213" t="s">
        <v>74</v>
      </c>
      <c r="C2" s="37"/>
      <c r="D2" s="218"/>
      <c r="E2" s="37"/>
      <c r="F2" s="14"/>
      <c r="G2" s="49"/>
      <c r="J2" s="14"/>
      <c r="K2" s="12"/>
      <c r="L2" s="48"/>
      <c r="M2" s="48"/>
      <c r="N2" s="92"/>
      <c r="O2" s="5"/>
      <c r="P2" s="5"/>
      <c r="Q2" s="5"/>
      <c r="R2" s="5"/>
      <c r="S2" s="5"/>
      <c r="T2" s="5"/>
    </row>
    <row r="3" spans="1:20">
      <c r="A3" s="213"/>
      <c r="C3" s="37"/>
      <c r="D3" s="37"/>
      <c r="E3" s="37"/>
      <c r="F3" s="48"/>
      <c r="G3" s="115"/>
      <c r="J3" s="14"/>
      <c r="K3" s="12"/>
      <c r="L3" s="48"/>
      <c r="M3" s="48"/>
      <c r="N3" s="92"/>
      <c r="O3" s="5"/>
      <c r="P3" s="5"/>
      <c r="Q3" s="5"/>
      <c r="R3" s="5"/>
      <c r="S3" s="5"/>
      <c r="T3" s="5"/>
    </row>
    <row r="4" spans="1:20">
      <c r="A4" s="214" t="s">
        <v>34</v>
      </c>
      <c r="F4" s="48"/>
      <c r="G4" s="49"/>
      <c r="H4" s="12"/>
      <c r="K4" s="12"/>
      <c r="L4" s="48"/>
      <c r="M4" s="219"/>
      <c r="N4" s="92" t="s">
        <v>23</v>
      </c>
      <c r="O4" s="5"/>
      <c r="P4" s="5"/>
      <c r="Q4" s="5"/>
      <c r="R4" s="5"/>
      <c r="S4" s="5"/>
      <c r="T4" s="5"/>
    </row>
    <row r="5" spans="1:20" s="5" customFormat="1">
      <c r="A5" s="214" t="s">
        <v>50</v>
      </c>
      <c r="B5" s="14" t="s">
        <v>39</v>
      </c>
      <c r="C5" s="14" t="s">
        <v>32</v>
      </c>
      <c r="D5" s="37" t="s">
        <v>51</v>
      </c>
      <c r="E5" s="14" t="s">
        <v>47</v>
      </c>
      <c r="F5" s="48" t="s">
        <v>24</v>
      </c>
      <c r="G5" s="49" t="s">
        <v>8</v>
      </c>
      <c r="H5" s="12" t="s">
        <v>14</v>
      </c>
      <c r="I5" s="12" t="s">
        <v>36</v>
      </c>
      <c r="J5" s="49" t="s">
        <v>4</v>
      </c>
      <c r="K5" s="12" t="s">
        <v>346</v>
      </c>
      <c r="L5" s="48" t="s">
        <v>28</v>
      </c>
      <c r="M5" s="48" t="s">
        <v>46</v>
      </c>
      <c r="N5" s="92" t="s">
        <v>5</v>
      </c>
    </row>
    <row r="6" spans="1:20" s="5" customFormat="1" ht="12.75" thickBot="1">
      <c r="A6" s="215" t="s">
        <v>33</v>
      </c>
      <c r="B6" s="39"/>
      <c r="C6" s="39"/>
      <c r="D6" s="220"/>
      <c r="E6" s="220"/>
      <c r="F6" s="56" t="s">
        <v>44</v>
      </c>
      <c r="G6" s="216" t="s">
        <v>44</v>
      </c>
      <c r="H6" s="106" t="s">
        <v>9</v>
      </c>
      <c r="I6" s="106" t="s">
        <v>18</v>
      </c>
      <c r="J6" s="216" t="s">
        <v>44</v>
      </c>
      <c r="K6" s="106" t="s">
        <v>18</v>
      </c>
      <c r="L6" s="56" t="s">
        <v>44</v>
      </c>
      <c r="M6" s="56" t="s">
        <v>44</v>
      </c>
      <c r="N6" s="108" t="s">
        <v>9</v>
      </c>
    </row>
    <row r="7" spans="1:20">
      <c r="B7" s="45"/>
      <c r="C7" s="192"/>
      <c r="D7" s="45"/>
      <c r="E7" s="45"/>
      <c r="F7" s="84"/>
      <c r="G7" s="84"/>
      <c r="H7" s="148"/>
      <c r="I7" s="132"/>
      <c r="J7" s="82"/>
      <c r="K7" s="132"/>
      <c r="L7" s="84"/>
      <c r="M7" s="84"/>
      <c r="N7" s="12"/>
    </row>
    <row r="8" spans="1:20">
      <c r="A8" s="1"/>
      <c r="B8" s="1"/>
      <c r="C8" s="1"/>
      <c r="D8" s="14" t="s">
        <v>19</v>
      </c>
      <c r="F8" s="114">
        <f>SUM(F7:F7)</f>
        <v>0</v>
      </c>
      <c r="G8" s="114">
        <f>SUM(G7:G7)</f>
        <v>0</v>
      </c>
      <c r="H8" s="118"/>
      <c r="I8" s="118"/>
      <c r="J8" s="114">
        <f>SUM(J7:J7)</f>
        <v>0</v>
      </c>
      <c r="K8" s="118"/>
      <c r="L8" s="86">
        <f>SUM(L7:L7)</f>
        <v>0</v>
      </c>
      <c r="M8" s="86">
        <f>SUM(M7:M7)</f>
        <v>0</v>
      </c>
      <c r="N8" s="12"/>
      <c r="O8" s="1"/>
      <c r="P8" s="1"/>
      <c r="Q8" s="1"/>
      <c r="R8" s="1"/>
      <c r="S8" s="1"/>
      <c r="T8" s="1"/>
    </row>
    <row r="9" spans="1:20">
      <c r="A9" s="1"/>
      <c r="B9" s="1"/>
      <c r="C9" s="1"/>
      <c r="F9" s="81"/>
      <c r="G9" s="81"/>
    </row>
    <row r="10" spans="1:20">
      <c r="A10" s="1"/>
      <c r="B10" s="1"/>
      <c r="C10" s="1"/>
      <c r="D10" s="14" t="s">
        <v>45</v>
      </c>
      <c r="F10" s="83">
        <f>SUM(F8-G8)</f>
        <v>0</v>
      </c>
      <c r="G10" s="81"/>
    </row>
    <row r="11" spans="1:20">
      <c r="A11" s="45"/>
      <c r="B11" s="1"/>
      <c r="C11" s="1"/>
      <c r="F11" s="83"/>
      <c r="G11" s="81"/>
    </row>
    <row r="12" spans="1:20">
      <c r="A12" s="116"/>
      <c r="B12" s="1"/>
      <c r="C12" s="1"/>
      <c r="D12" s="70" t="s">
        <v>10</v>
      </c>
      <c r="F12" s="110">
        <f>+C1-G8+M8</f>
        <v>27244692.8873</v>
      </c>
      <c r="G12" s="131" t="s">
        <v>570</v>
      </c>
    </row>
    <row r="13" spans="1:20">
      <c r="A13" s="45"/>
      <c r="B13" s="1"/>
      <c r="C13" s="1"/>
      <c r="D13" s="1"/>
      <c r="E13" s="1"/>
      <c r="F13" s="97"/>
    </row>
    <row r="14" spans="1:20">
      <c r="F14" s="81"/>
    </row>
    <row r="15" spans="1:20">
      <c r="F15" s="81"/>
    </row>
    <row r="16" spans="1:20">
      <c r="F16" s="81"/>
    </row>
  </sheetData>
  <pageMargins left="0.75" right="0.75" top="1" bottom="1" header="0.5" footer="0.5"/>
  <pageSetup scale="5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T16"/>
  <sheetViews>
    <sheetView zoomScaleNormal="100" workbookViewId="0">
      <selection activeCell="C1" sqref="C1"/>
    </sheetView>
  </sheetViews>
  <sheetFormatPr defaultColWidth="10.85546875" defaultRowHeight="12"/>
  <cols>
    <col min="1" max="1" width="8.28515625" style="14" customWidth="1"/>
    <col min="2" max="2" width="7.85546875" style="14" bestFit="1" customWidth="1"/>
    <col min="3" max="3" width="16" style="14" bestFit="1" customWidth="1"/>
    <col min="4" max="4" width="17.42578125" style="14" customWidth="1"/>
    <col min="5" max="5" width="10.7109375" style="14" bestFit="1" customWidth="1"/>
    <col min="6" max="6" width="13" style="13" bestFit="1" customWidth="1"/>
    <col min="7" max="7" width="12.140625" style="36" bestFit="1" customWidth="1"/>
    <col min="8" max="8" width="13.7109375" style="14" customWidth="1"/>
    <col min="9" max="9" width="9.7109375" style="14" bestFit="1" customWidth="1"/>
    <col min="10" max="10" width="11.140625" style="36" bestFit="1" customWidth="1"/>
    <col min="11" max="11" width="9.7109375" style="14" bestFit="1" customWidth="1"/>
    <col min="12" max="12" width="12.5703125" style="13" bestFit="1" customWidth="1"/>
    <col min="13" max="13" width="12" style="13" bestFit="1" customWidth="1"/>
    <col min="14" max="14" width="12" style="14" bestFit="1" customWidth="1"/>
    <col min="15" max="16384" width="10.85546875" style="14"/>
  </cols>
  <sheetData>
    <row r="1" spans="1:20" s="25" customFormat="1">
      <c r="A1" s="211" t="s">
        <v>12</v>
      </c>
      <c r="B1" s="204"/>
      <c r="C1" s="63">
        <v>19916038.332400002</v>
      </c>
      <c r="D1" s="217"/>
      <c r="E1" s="22"/>
      <c r="F1" s="46"/>
      <c r="G1" s="47"/>
      <c r="K1" s="23"/>
      <c r="L1" s="46"/>
      <c r="M1" s="46"/>
      <c r="N1" s="212"/>
      <c r="O1" s="5"/>
      <c r="P1" s="5"/>
      <c r="Q1" s="5"/>
      <c r="R1" s="5"/>
      <c r="S1" s="5"/>
      <c r="T1" s="5"/>
    </row>
    <row r="2" spans="1:20">
      <c r="A2" s="213" t="s">
        <v>68</v>
      </c>
      <c r="C2" s="37"/>
      <c r="D2" s="218"/>
      <c r="E2" s="37"/>
      <c r="F2" s="14"/>
      <c r="G2" s="49"/>
      <c r="J2" s="14"/>
      <c r="K2" s="12"/>
      <c r="L2" s="48"/>
      <c r="M2" s="48"/>
      <c r="N2" s="92"/>
      <c r="O2" s="5"/>
      <c r="P2" s="5"/>
      <c r="Q2" s="5"/>
      <c r="R2" s="5"/>
      <c r="S2" s="5"/>
      <c r="T2" s="5"/>
    </row>
    <row r="3" spans="1:20">
      <c r="A3" s="213"/>
      <c r="C3" s="37"/>
      <c r="D3" s="37"/>
      <c r="E3" s="37"/>
      <c r="F3" s="48"/>
      <c r="G3" s="115"/>
      <c r="J3" s="14"/>
      <c r="K3" s="12"/>
      <c r="L3" s="48"/>
      <c r="M3" s="48"/>
      <c r="N3" s="92"/>
      <c r="O3" s="5"/>
      <c r="P3" s="5"/>
      <c r="Q3" s="5"/>
      <c r="R3" s="5"/>
      <c r="S3" s="5"/>
      <c r="T3" s="5"/>
    </row>
    <row r="4" spans="1:20">
      <c r="A4" s="214" t="s">
        <v>34</v>
      </c>
      <c r="F4" s="48"/>
      <c r="G4" s="49"/>
      <c r="H4" s="12"/>
      <c r="K4" s="12"/>
      <c r="L4" s="48"/>
      <c r="M4" s="219"/>
      <c r="N4" s="92" t="s">
        <v>23</v>
      </c>
      <c r="O4" s="5"/>
      <c r="P4" s="5"/>
      <c r="Q4" s="5"/>
      <c r="R4" s="5"/>
      <c r="S4" s="5"/>
      <c r="T4" s="5"/>
    </row>
    <row r="5" spans="1:20" s="5" customFormat="1">
      <c r="A5" s="214" t="s">
        <v>50</v>
      </c>
      <c r="B5" s="14" t="s">
        <v>39</v>
      </c>
      <c r="C5" s="14" t="s">
        <v>32</v>
      </c>
      <c r="D5" s="37" t="s">
        <v>51</v>
      </c>
      <c r="E5" s="14" t="s">
        <v>47</v>
      </c>
      <c r="F5" s="48" t="s">
        <v>24</v>
      </c>
      <c r="G5" s="49" t="s">
        <v>8</v>
      </c>
      <c r="H5" s="12" t="s">
        <v>14</v>
      </c>
      <c r="I5" s="12" t="s">
        <v>36</v>
      </c>
      <c r="J5" s="49" t="s">
        <v>4</v>
      </c>
      <c r="K5" s="12" t="s">
        <v>346</v>
      </c>
      <c r="L5" s="48" t="s">
        <v>28</v>
      </c>
      <c r="M5" s="48" t="s">
        <v>46</v>
      </c>
      <c r="N5" s="92" t="s">
        <v>5</v>
      </c>
    </row>
    <row r="6" spans="1:20" s="5" customFormat="1" ht="12.75" thickBot="1">
      <c r="A6" s="215" t="s">
        <v>33</v>
      </c>
      <c r="B6" s="39"/>
      <c r="C6" s="39"/>
      <c r="D6" s="220"/>
      <c r="E6" s="220"/>
      <c r="F6" s="56" t="s">
        <v>44</v>
      </c>
      <c r="G6" s="216" t="s">
        <v>44</v>
      </c>
      <c r="H6" s="106" t="s">
        <v>9</v>
      </c>
      <c r="I6" s="106" t="s">
        <v>18</v>
      </c>
      <c r="J6" s="216" t="s">
        <v>44</v>
      </c>
      <c r="K6" s="106" t="s">
        <v>18</v>
      </c>
      <c r="L6" s="56" t="s">
        <v>44</v>
      </c>
      <c r="M6" s="56" t="s">
        <v>44</v>
      </c>
      <c r="N6" s="108" t="s">
        <v>9</v>
      </c>
    </row>
    <row r="7" spans="1:20" s="179" customFormat="1" ht="12.75">
      <c r="B7" s="243"/>
      <c r="C7" s="244"/>
      <c r="D7" s="243"/>
      <c r="E7" s="243"/>
      <c r="F7" s="245"/>
      <c r="G7" s="245"/>
      <c r="H7" s="246"/>
      <c r="I7" s="247"/>
      <c r="J7" s="245"/>
      <c r="K7" s="247"/>
      <c r="L7" s="245"/>
      <c r="M7" s="245"/>
      <c r="N7" s="178"/>
    </row>
    <row r="8" spans="1:20">
      <c r="A8" s="1"/>
      <c r="B8" s="1"/>
      <c r="C8" s="1"/>
      <c r="D8" s="14" t="s">
        <v>19</v>
      </c>
      <c r="F8" s="114">
        <f>SUM(F7:F7)</f>
        <v>0</v>
      </c>
      <c r="G8" s="114">
        <f>SUM(G7:G7)</f>
        <v>0</v>
      </c>
      <c r="H8" s="118"/>
      <c r="I8" s="118"/>
      <c r="J8" s="114">
        <f>SUM(J7:J7)</f>
        <v>0</v>
      </c>
      <c r="K8" s="118"/>
      <c r="L8" s="86">
        <f>SUM(L7:L7)</f>
        <v>0</v>
      </c>
      <c r="M8" s="86">
        <f>SUM(M7:M7)</f>
        <v>0</v>
      </c>
      <c r="N8" s="12"/>
      <c r="O8" s="1"/>
      <c r="P8" s="1"/>
      <c r="Q8" s="1"/>
      <c r="R8" s="1"/>
      <c r="S8" s="1"/>
      <c r="T8" s="1"/>
    </row>
    <row r="9" spans="1:20">
      <c r="A9" s="1"/>
      <c r="B9" s="1"/>
      <c r="C9" s="1"/>
      <c r="F9" s="81"/>
      <c r="G9" s="81"/>
    </row>
    <row r="10" spans="1:20">
      <c r="A10" s="1"/>
      <c r="B10" s="1"/>
      <c r="C10" s="1"/>
      <c r="D10" s="14" t="s">
        <v>45</v>
      </c>
      <c r="F10" s="83">
        <f>SUM(F8-G8)</f>
        <v>0</v>
      </c>
      <c r="G10" s="81"/>
    </row>
    <row r="11" spans="1:20">
      <c r="A11" s="45"/>
      <c r="B11" s="1"/>
      <c r="C11" s="1"/>
      <c r="F11" s="83"/>
      <c r="G11" s="81"/>
    </row>
    <row r="12" spans="1:20">
      <c r="A12" s="116"/>
      <c r="B12" s="1"/>
      <c r="C12" s="1"/>
      <c r="D12" s="70" t="s">
        <v>10</v>
      </c>
      <c r="F12" s="110">
        <f>+C1-G8+M8</f>
        <v>19916038.332400002</v>
      </c>
      <c r="G12" s="131" t="s">
        <v>570</v>
      </c>
    </row>
    <row r="13" spans="1:20">
      <c r="A13" s="45"/>
      <c r="B13" s="1"/>
      <c r="C13" s="1"/>
      <c r="D13" s="1"/>
      <c r="E13" s="1"/>
      <c r="F13" s="97"/>
    </row>
    <row r="14" spans="1:20">
      <c r="F14" s="81"/>
    </row>
    <row r="15" spans="1:20">
      <c r="F15" s="81"/>
    </row>
    <row r="16" spans="1:20">
      <c r="F16" s="81"/>
    </row>
  </sheetData>
  <phoneticPr fontId="3" type="noConversion"/>
  <pageMargins left="0.75" right="0.75" top="1" bottom="1" header="0.5" footer="0.5"/>
  <pageSetup scale="5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1:T37"/>
  <sheetViews>
    <sheetView zoomScaleNormal="100" workbookViewId="0">
      <pane xSplit="1" ySplit="6" topLeftCell="B7" activePane="bottomRight" state="frozen"/>
      <selection activeCell="K30" sqref="I28:K30"/>
      <selection pane="topRight" activeCell="K30" sqref="I28:K30"/>
      <selection pane="bottomLeft" activeCell="K30" sqref="I28:K30"/>
      <selection pane="bottomRight" activeCell="A8" sqref="A8:XFD8"/>
    </sheetView>
  </sheetViews>
  <sheetFormatPr defaultColWidth="10.85546875" defaultRowHeight="12"/>
  <cols>
    <col min="1" max="1" width="9.7109375" style="14" customWidth="1"/>
    <col min="2" max="2" width="12.140625" style="14" customWidth="1"/>
    <col min="3" max="3" width="40.28515625" style="14" bestFit="1" customWidth="1"/>
    <col min="4" max="4" width="36.140625" style="14" bestFit="1" customWidth="1"/>
    <col min="5" max="5" width="12.42578125" style="14" bestFit="1" customWidth="1"/>
    <col min="6" max="6" width="16" style="13" bestFit="1" customWidth="1"/>
    <col min="7" max="7" width="16" style="36" bestFit="1" customWidth="1"/>
    <col min="8" max="8" width="14.42578125" style="14" bestFit="1" customWidth="1"/>
    <col min="9" max="9" width="9.7109375" style="14" bestFit="1" customWidth="1"/>
    <col min="10" max="10" width="16" style="35" bestFit="1" customWidth="1"/>
    <col min="11" max="11" width="11.28515625" style="14" bestFit="1" customWidth="1"/>
    <col min="12" max="12" width="12.5703125" style="68" bestFit="1" customWidth="1"/>
    <col min="13" max="13" width="12.5703125" style="13" bestFit="1" customWidth="1"/>
    <col min="14" max="14" width="9.42578125" style="14" bestFit="1" customWidth="1"/>
    <col min="15" max="15" width="12" style="14" bestFit="1" customWidth="1"/>
    <col min="16" max="16384" width="10.85546875" style="14"/>
  </cols>
  <sheetData>
    <row r="1" spans="1:20" s="25" customFormat="1">
      <c r="A1" s="211" t="s">
        <v>12</v>
      </c>
      <c r="C1" s="251">
        <v>130237464.1512</v>
      </c>
      <c r="D1" s="217"/>
      <c r="E1" s="22"/>
      <c r="F1" s="63"/>
      <c r="G1" s="47"/>
      <c r="N1" s="212"/>
      <c r="O1" s="5"/>
      <c r="P1" s="5"/>
      <c r="Q1" s="5"/>
      <c r="R1" s="5"/>
      <c r="S1" s="5"/>
      <c r="T1" s="5"/>
    </row>
    <row r="2" spans="1:20">
      <c r="A2" s="213" t="s">
        <v>41</v>
      </c>
      <c r="C2" s="37"/>
      <c r="D2" s="218"/>
      <c r="E2" s="37"/>
      <c r="F2" s="14"/>
      <c r="G2" s="49"/>
      <c r="I2" s="12"/>
      <c r="J2" s="14"/>
      <c r="L2" s="14"/>
      <c r="M2" s="48"/>
      <c r="N2" s="92"/>
      <c r="O2" s="5"/>
      <c r="P2" s="5"/>
      <c r="Q2" s="5"/>
      <c r="R2" s="5"/>
      <c r="S2" s="5"/>
      <c r="T2" s="5"/>
    </row>
    <row r="3" spans="1:20">
      <c r="A3" s="214"/>
      <c r="F3" s="48"/>
      <c r="G3" s="49"/>
      <c r="H3" s="12"/>
      <c r="I3" s="12"/>
      <c r="J3" s="28"/>
      <c r="K3" s="12"/>
      <c r="L3" s="64"/>
      <c r="M3" s="48"/>
      <c r="N3" s="92"/>
      <c r="O3" s="5"/>
      <c r="P3" s="5"/>
      <c r="Q3" s="5"/>
      <c r="R3" s="5"/>
      <c r="S3" s="5"/>
      <c r="T3" s="5"/>
    </row>
    <row r="4" spans="1:20" s="5" customFormat="1">
      <c r="A4" s="214" t="s">
        <v>34</v>
      </c>
      <c r="B4" s="14" t="s">
        <v>39</v>
      </c>
      <c r="C4" s="14" t="s">
        <v>32</v>
      </c>
      <c r="D4" s="37" t="s">
        <v>51</v>
      </c>
      <c r="E4" s="14" t="s">
        <v>47</v>
      </c>
      <c r="F4" s="48" t="s">
        <v>24</v>
      </c>
      <c r="G4" s="49" t="s">
        <v>8</v>
      </c>
      <c r="H4" s="12" t="s">
        <v>14</v>
      </c>
      <c r="I4" s="12" t="s">
        <v>36</v>
      </c>
      <c r="J4" s="28" t="s">
        <v>4</v>
      </c>
      <c r="K4" s="12" t="s">
        <v>346</v>
      </c>
      <c r="L4" s="64" t="s">
        <v>28</v>
      </c>
      <c r="M4" s="48" t="s">
        <v>46</v>
      </c>
      <c r="N4" s="92" t="s">
        <v>23</v>
      </c>
    </row>
    <row r="5" spans="1:20" s="5" customFormat="1">
      <c r="A5" s="214" t="s">
        <v>50</v>
      </c>
      <c r="B5" s="14"/>
      <c r="C5" s="14"/>
      <c r="D5" s="37"/>
      <c r="E5" s="37"/>
      <c r="F5" s="48" t="s">
        <v>44</v>
      </c>
      <c r="G5" s="49" t="s">
        <v>44</v>
      </c>
      <c r="H5" s="12" t="s">
        <v>9</v>
      </c>
      <c r="I5" s="12" t="s">
        <v>18</v>
      </c>
      <c r="J5" s="28" t="s">
        <v>44</v>
      </c>
      <c r="K5" s="12" t="s">
        <v>18</v>
      </c>
      <c r="L5" s="64" t="s">
        <v>44</v>
      </c>
      <c r="M5" s="48" t="s">
        <v>44</v>
      </c>
      <c r="N5" s="92" t="s">
        <v>5</v>
      </c>
    </row>
    <row r="6" spans="1:20" s="5" customFormat="1" ht="12.75" thickBot="1">
      <c r="A6" s="215" t="s">
        <v>33</v>
      </c>
      <c r="B6" s="39"/>
      <c r="C6" s="39"/>
      <c r="D6" s="39"/>
      <c r="E6" s="39"/>
      <c r="F6" s="56"/>
      <c r="G6" s="216"/>
      <c r="H6" s="106"/>
      <c r="I6" s="106"/>
      <c r="J6" s="236"/>
      <c r="K6" s="106"/>
      <c r="L6" s="69"/>
      <c r="M6" s="56"/>
      <c r="N6" s="108" t="s">
        <v>9</v>
      </c>
    </row>
    <row r="7" spans="1:20">
      <c r="A7" s="14">
        <v>4531</v>
      </c>
      <c r="B7" s="14" t="s">
        <v>360</v>
      </c>
      <c r="C7" s="45" t="s">
        <v>279</v>
      </c>
      <c r="D7" s="45" t="s">
        <v>280</v>
      </c>
      <c r="E7" s="45" t="s">
        <v>84</v>
      </c>
      <c r="F7" s="28">
        <v>51757647.585000001</v>
      </c>
      <c r="G7" s="28">
        <v>51757647.585000001</v>
      </c>
      <c r="H7" s="12">
        <v>42370</v>
      </c>
      <c r="I7" s="12">
        <f t="shared" ref="I7:I12" si="0">H7+35</f>
        <v>42405</v>
      </c>
      <c r="J7" s="28"/>
      <c r="K7" s="12">
        <f t="shared" ref="K7:K12" si="1">H7+180</f>
        <v>42550</v>
      </c>
      <c r="L7" s="64"/>
      <c r="M7" s="64">
        <f t="shared" ref="M7:M12" si="2">G7-L7</f>
        <v>51757647.585000001</v>
      </c>
      <c r="N7" s="12">
        <v>42404</v>
      </c>
    </row>
    <row r="8" spans="1:20">
      <c r="A8" s="14">
        <v>4535</v>
      </c>
      <c r="B8" s="14" t="s">
        <v>86</v>
      </c>
      <c r="C8" s="45" t="s">
        <v>279</v>
      </c>
      <c r="D8" s="45" t="s">
        <v>285</v>
      </c>
      <c r="E8" s="45" t="s">
        <v>84</v>
      </c>
      <c r="F8" s="365">
        <v>23000000</v>
      </c>
      <c r="G8" s="365">
        <v>23000000</v>
      </c>
      <c r="H8" s="12">
        <v>42370</v>
      </c>
      <c r="I8" s="12">
        <f t="shared" si="0"/>
        <v>42405</v>
      </c>
      <c r="J8" s="365">
        <v>23000000</v>
      </c>
      <c r="K8" s="12">
        <f t="shared" si="1"/>
        <v>42550</v>
      </c>
      <c r="L8" s="64">
        <v>18500000</v>
      </c>
      <c r="M8" s="64">
        <f t="shared" si="2"/>
        <v>4500000</v>
      </c>
      <c r="N8" s="12">
        <v>42545</v>
      </c>
    </row>
    <row r="9" spans="1:20">
      <c r="A9" s="14">
        <v>4542</v>
      </c>
      <c r="B9" s="14" t="s">
        <v>360</v>
      </c>
      <c r="C9" s="45" t="s">
        <v>279</v>
      </c>
      <c r="D9" s="45" t="s">
        <v>300</v>
      </c>
      <c r="E9" s="45" t="s">
        <v>84</v>
      </c>
      <c r="F9" s="365">
        <v>8000000</v>
      </c>
      <c r="G9" s="365">
        <v>8000000</v>
      </c>
      <c r="H9" s="12">
        <v>42371</v>
      </c>
      <c r="I9" s="12">
        <f t="shared" si="0"/>
        <v>42406</v>
      </c>
      <c r="J9" s="28"/>
      <c r="K9" s="12">
        <f t="shared" si="1"/>
        <v>42551</v>
      </c>
      <c r="L9" s="64"/>
      <c r="M9" s="64">
        <f t="shared" si="2"/>
        <v>8000000</v>
      </c>
      <c r="N9" s="12">
        <v>42404</v>
      </c>
    </row>
    <row r="10" spans="1:20">
      <c r="A10" s="14">
        <v>4570</v>
      </c>
      <c r="B10" s="14" t="s">
        <v>360</v>
      </c>
      <c r="C10" s="45" t="s">
        <v>302</v>
      </c>
      <c r="D10" s="45" t="s">
        <v>379</v>
      </c>
      <c r="E10" s="45" t="s">
        <v>272</v>
      </c>
      <c r="F10" s="365">
        <v>50000000</v>
      </c>
      <c r="G10" s="365">
        <v>50000000</v>
      </c>
      <c r="H10" s="12">
        <v>42404</v>
      </c>
      <c r="I10" s="12">
        <f t="shared" si="0"/>
        <v>42439</v>
      </c>
      <c r="J10" s="365">
        <v>50000000</v>
      </c>
      <c r="K10" s="12">
        <f t="shared" si="1"/>
        <v>42584</v>
      </c>
      <c r="L10" s="365"/>
      <c r="M10" s="64">
        <f t="shared" si="2"/>
        <v>50000000</v>
      </c>
      <c r="N10" s="12">
        <v>42467</v>
      </c>
    </row>
    <row r="11" spans="1:20">
      <c r="A11" s="14">
        <v>4571</v>
      </c>
      <c r="B11" s="14" t="s">
        <v>360</v>
      </c>
      <c r="C11" s="45" t="s">
        <v>302</v>
      </c>
      <c r="D11" s="45" t="s">
        <v>271</v>
      </c>
      <c r="E11" s="45" t="s">
        <v>272</v>
      </c>
      <c r="F11" s="365">
        <v>30000000</v>
      </c>
      <c r="G11" s="365">
        <v>30000000</v>
      </c>
      <c r="H11" s="12">
        <v>42404</v>
      </c>
      <c r="I11" s="12">
        <f t="shared" si="0"/>
        <v>42439</v>
      </c>
      <c r="J11" s="365">
        <v>30000000</v>
      </c>
      <c r="K11" s="12">
        <f t="shared" si="1"/>
        <v>42584</v>
      </c>
      <c r="L11" s="365"/>
      <c r="M11" s="64">
        <f t="shared" si="2"/>
        <v>30000000</v>
      </c>
      <c r="N11" s="12">
        <v>42467</v>
      </c>
    </row>
    <row r="12" spans="1:20">
      <c r="A12" s="14">
        <v>4577</v>
      </c>
      <c r="B12" s="14" t="s">
        <v>86</v>
      </c>
      <c r="C12" s="45" t="s">
        <v>297</v>
      </c>
      <c r="D12" s="45" t="s">
        <v>331</v>
      </c>
      <c r="E12" s="45" t="s">
        <v>84</v>
      </c>
      <c r="F12" s="365">
        <v>14200000</v>
      </c>
      <c r="G12" s="365">
        <v>14200000</v>
      </c>
      <c r="H12" s="12">
        <v>42411</v>
      </c>
      <c r="I12" s="12">
        <f t="shared" si="0"/>
        <v>42446</v>
      </c>
      <c r="J12" s="28">
        <v>14200000</v>
      </c>
      <c r="K12" s="12">
        <f t="shared" si="1"/>
        <v>42591</v>
      </c>
      <c r="L12" s="64">
        <v>14200000</v>
      </c>
      <c r="M12" s="64">
        <f t="shared" si="2"/>
        <v>0</v>
      </c>
      <c r="N12" s="12">
        <v>42592</v>
      </c>
    </row>
    <row r="13" spans="1:20" s="5" customFormat="1">
      <c r="A13" s="14" t="s">
        <v>337</v>
      </c>
      <c r="B13" s="14" t="s">
        <v>45</v>
      </c>
      <c r="C13" s="45" t="s">
        <v>334</v>
      </c>
      <c r="D13" s="45" t="s">
        <v>335</v>
      </c>
      <c r="E13" s="45" t="s">
        <v>336</v>
      </c>
      <c r="F13" s="365"/>
      <c r="G13" s="365"/>
      <c r="H13" s="12"/>
      <c r="I13" s="12"/>
      <c r="J13" s="28"/>
      <c r="K13" s="12"/>
      <c r="L13" s="64"/>
      <c r="M13" s="48"/>
      <c r="N13" s="12"/>
    </row>
    <row r="14" spans="1:20" s="5" customFormat="1">
      <c r="A14" s="14" t="s">
        <v>405</v>
      </c>
      <c r="B14" s="14" t="s">
        <v>45</v>
      </c>
      <c r="C14" s="45" t="s">
        <v>297</v>
      </c>
      <c r="D14" s="45" t="s">
        <v>384</v>
      </c>
      <c r="E14" s="45" t="s">
        <v>84</v>
      </c>
      <c r="F14" s="365"/>
      <c r="G14" s="365"/>
      <c r="H14" s="12"/>
      <c r="I14" s="12"/>
      <c r="J14" s="28"/>
      <c r="K14" s="12"/>
      <c r="L14" s="64"/>
      <c r="M14" s="48"/>
      <c r="N14" s="12"/>
    </row>
    <row r="15" spans="1:20" s="179" customFormat="1" ht="14.25" customHeight="1">
      <c r="A15" s="45"/>
      <c r="B15" s="14"/>
      <c r="C15" s="45"/>
      <c r="D15" s="45"/>
      <c r="E15" s="45"/>
      <c r="F15" s="327"/>
      <c r="G15" s="289"/>
      <c r="H15" s="124"/>
      <c r="I15" s="124"/>
      <c r="J15" s="289"/>
      <c r="K15" s="124"/>
      <c r="L15" s="248"/>
      <c r="M15" s="248"/>
      <c r="N15" s="178"/>
    </row>
    <row r="16" spans="1:20">
      <c r="D16" s="14" t="s">
        <v>19</v>
      </c>
      <c r="F16" s="391">
        <f>SUM(F7:F15)</f>
        <v>176957647.58500001</v>
      </c>
      <c r="G16" s="86">
        <f>SUM(G7:G15)</f>
        <v>176957647.58500001</v>
      </c>
      <c r="H16" s="12"/>
      <c r="I16" s="12"/>
      <c r="J16" s="86">
        <f>SUM(J7:J15)</f>
        <v>117200000</v>
      </c>
      <c r="K16" s="12"/>
      <c r="L16" s="86">
        <f>SUM(L7:L15)</f>
        <v>32700000</v>
      </c>
      <c r="M16" s="86">
        <f>SUM(M7:M15)</f>
        <v>144257647.58500001</v>
      </c>
    </row>
    <row r="17" spans="1:8">
      <c r="F17" s="81"/>
    </row>
    <row r="18" spans="1:8">
      <c r="D18" s="14" t="s">
        <v>45</v>
      </c>
      <c r="F18" s="68">
        <f>F16-G16</f>
        <v>0</v>
      </c>
    </row>
    <row r="20" spans="1:8">
      <c r="A20" s="1"/>
      <c r="C20" s="207"/>
      <c r="D20" s="207" t="s">
        <v>78</v>
      </c>
      <c r="F20" s="87">
        <f>+C1-G16+M16</f>
        <v>97537464.151199996</v>
      </c>
      <c r="G20" s="131" t="s">
        <v>570</v>
      </c>
    </row>
    <row r="22" spans="1:8">
      <c r="A22" s="5"/>
    </row>
    <row r="23" spans="1:8">
      <c r="A23" s="5"/>
    </row>
    <row r="24" spans="1:8">
      <c r="A24" s="5"/>
    </row>
    <row r="27" spans="1:8">
      <c r="H27" s="14" t="s">
        <v>7</v>
      </c>
    </row>
    <row r="32" spans="1:8">
      <c r="A32" s="45"/>
      <c r="B32" s="45"/>
      <c r="C32" s="45"/>
      <c r="D32" s="45"/>
      <c r="E32" s="45"/>
      <c r="F32" s="45"/>
    </row>
    <row r="35" spans="1:6">
      <c r="A35" s="45"/>
      <c r="B35" s="45"/>
      <c r="C35" s="45"/>
      <c r="D35" s="45"/>
      <c r="E35" s="45"/>
      <c r="F35" s="45"/>
    </row>
    <row r="37" spans="1:6">
      <c r="A37" s="45"/>
      <c r="B37" s="45"/>
      <c r="C37" s="45"/>
      <c r="D37" s="45"/>
      <c r="E37" s="45"/>
      <c r="F37" s="45"/>
    </row>
  </sheetData>
  <phoneticPr fontId="0" type="noConversion"/>
  <pageMargins left="0.75" right="0.75" top="1" bottom="1" header="0.5" footer="0.5"/>
  <pageSetup scale="74" fitToHeight="2" orientation="landscape" horizontalDpi="4294967292" verticalDpi="4294967292" r:id="rId1"/>
  <headerFooter alignWithMargins="0"/>
  <colBreaks count="1" manualBreakCount="1">
    <brk id="1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/>
  <dimension ref="A1:S32"/>
  <sheetViews>
    <sheetView zoomScaleNormal="100" workbookViewId="0">
      <selection activeCell="M10" sqref="M10"/>
    </sheetView>
  </sheetViews>
  <sheetFormatPr defaultColWidth="10.85546875" defaultRowHeight="12"/>
  <cols>
    <col min="1" max="1" width="14.5703125" style="14" customWidth="1"/>
    <col min="2" max="2" width="12.140625" style="14" bestFit="1" customWidth="1"/>
    <col min="3" max="3" width="40.85546875" style="14" customWidth="1"/>
    <col min="4" max="4" width="20.5703125" style="14" bestFit="1" customWidth="1"/>
    <col min="5" max="5" width="12.140625" style="14" bestFit="1" customWidth="1"/>
    <col min="6" max="6" width="13.140625" style="13" bestFit="1" customWidth="1"/>
    <col min="7" max="7" width="12.85546875" style="36" bestFit="1" customWidth="1"/>
    <col min="8" max="8" width="14.42578125" style="14" bestFit="1" customWidth="1"/>
    <col min="9" max="9" width="9.7109375" style="14" bestFit="1" customWidth="1"/>
    <col min="10" max="10" width="12" style="36" bestFit="1" customWidth="1"/>
    <col min="11" max="11" width="9.7109375" style="14" bestFit="1" customWidth="1"/>
    <col min="12" max="12" width="12.28515625" style="13" bestFit="1" customWidth="1"/>
    <col min="13" max="13" width="12.5703125" style="13" bestFit="1" customWidth="1"/>
    <col min="14" max="14" width="10.85546875" style="14" customWidth="1"/>
    <col min="15" max="15" width="14.42578125" style="14" bestFit="1" customWidth="1"/>
    <col min="16" max="16384" width="10.85546875" style="14"/>
  </cols>
  <sheetData>
    <row r="1" spans="1:19" s="25" customFormat="1">
      <c r="A1" s="211" t="s">
        <v>12</v>
      </c>
      <c r="B1" s="204"/>
      <c r="C1" s="63">
        <v>36139777.4234</v>
      </c>
      <c r="D1" s="217"/>
      <c r="E1" s="22"/>
      <c r="F1" s="63"/>
      <c r="G1" s="47"/>
      <c r="K1" s="23"/>
      <c r="L1" s="46"/>
      <c r="M1" s="46"/>
      <c r="N1" s="212"/>
      <c r="O1" s="14"/>
      <c r="P1" s="14"/>
      <c r="Q1" s="14"/>
      <c r="R1" s="14"/>
      <c r="S1" s="14"/>
    </row>
    <row r="2" spans="1:19">
      <c r="A2" s="213" t="s">
        <v>11</v>
      </c>
      <c r="C2" s="37"/>
      <c r="D2" s="218"/>
      <c r="E2" s="37"/>
      <c r="F2" s="14"/>
      <c r="G2" s="49"/>
      <c r="J2" s="14"/>
      <c r="K2" s="12"/>
      <c r="L2" s="48"/>
      <c r="M2" s="48"/>
      <c r="N2" s="92"/>
    </row>
    <row r="3" spans="1:19">
      <c r="A3" s="213"/>
      <c r="C3" s="37"/>
      <c r="D3" s="37"/>
      <c r="E3" s="37"/>
      <c r="F3" s="48"/>
      <c r="G3" s="115"/>
      <c r="J3" s="14"/>
      <c r="K3" s="12"/>
      <c r="L3" s="48"/>
      <c r="M3" s="48"/>
      <c r="N3" s="92"/>
    </row>
    <row r="4" spans="1:19">
      <c r="A4" s="214" t="s">
        <v>34</v>
      </c>
      <c r="F4" s="48"/>
      <c r="G4" s="49"/>
      <c r="H4" s="12"/>
      <c r="K4" s="12"/>
      <c r="L4" s="48"/>
      <c r="M4" s="219"/>
      <c r="N4" s="92" t="s">
        <v>23</v>
      </c>
    </row>
    <row r="5" spans="1:19">
      <c r="A5" s="214" t="s">
        <v>50</v>
      </c>
      <c r="B5" s="14" t="s">
        <v>39</v>
      </c>
      <c r="C5" s="14" t="s">
        <v>32</v>
      </c>
      <c r="D5" s="37" t="s">
        <v>51</v>
      </c>
      <c r="E5" s="14" t="s">
        <v>47</v>
      </c>
      <c r="F5" s="48" t="s">
        <v>24</v>
      </c>
      <c r="G5" s="49" t="s">
        <v>8</v>
      </c>
      <c r="H5" s="12" t="s">
        <v>14</v>
      </c>
      <c r="I5" s="12" t="s">
        <v>36</v>
      </c>
      <c r="J5" s="49" t="s">
        <v>4</v>
      </c>
      <c r="K5" s="12" t="s">
        <v>346</v>
      </c>
      <c r="L5" s="48" t="s">
        <v>28</v>
      </c>
      <c r="M5" s="48" t="s">
        <v>46</v>
      </c>
      <c r="N5" s="92" t="s">
        <v>5</v>
      </c>
    </row>
    <row r="6" spans="1:19" ht="13.5" customHeight="1" thickBot="1">
      <c r="A6" s="215" t="s">
        <v>33</v>
      </c>
      <c r="B6" s="39"/>
      <c r="C6" s="39"/>
      <c r="D6" s="220"/>
      <c r="E6" s="220"/>
      <c r="F6" s="56" t="s">
        <v>44</v>
      </c>
      <c r="G6" s="216" t="s">
        <v>44</v>
      </c>
      <c r="H6" s="106" t="s">
        <v>9</v>
      </c>
      <c r="I6" s="106" t="s">
        <v>18</v>
      </c>
      <c r="J6" s="216" t="s">
        <v>44</v>
      </c>
      <c r="K6" s="106" t="s">
        <v>18</v>
      </c>
      <c r="L6" s="56" t="s">
        <v>44</v>
      </c>
      <c r="M6" s="56" t="s">
        <v>44</v>
      </c>
      <c r="N6" s="108" t="s">
        <v>9</v>
      </c>
    </row>
    <row r="7" spans="1:19" ht="13.5" customHeight="1">
      <c r="A7" s="45">
        <v>4539</v>
      </c>
      <c r="B7" s="1" t="s">
        <v>86</v>
      </c>
      <c r="C7" s="1" t="s">
        <v>290</v>
      </c>
      <c r="D7" s="1" t="s">
        <v>291</v>
      </c>
      <c r="E7" s="1" t="s">
        <v>83</v>
      </c>
      <c r="F7" s="492">
        <v>24000000</v>
      </c>
      <c r="G7" s="492">
        <v>24000000</v>
      </c>
      <c r="H7" s="12">
        <v>42370</v>
      </c>
      <c r="I7" s="12">
        <f>H7+35</f>
        <v>42405</v>
      </c>
      <c r="J7" s="365">
        <v>24000000</v>
      </c>
      <c r="K7" s="12">
        <f>H7+180</f>
        <v>42550</v>
      </c>
      <c r="L7" s="84">
        <v>7314000</v>
      </c>
      <c r="M7" s="28">
        <f>J7-L7</f>
        <v>16686000</v>
      </c>
      <c r="N7" s="12">
        <v>42545</v>
      </c>
      <c r="O7" s="14" t="s">
        <v>478</v>
      </c>
    </row>
    <row r="8" spans="1:19" ht="13.5" customHeight="1">
      <c r="A8" s="496">
        <v>4562</v>
      </c>
      <c r="B8" s="364" t="s">
        <v>395</v>
      </c>
      <c r="C8" s="364" t="s">
        <v>292</v>
      </c>
      <c r="D8" s="364" t="s">
        <v>293</v>
      </c>
      <c r="E8" s="364" t="s">
        <v>83</v>
      </c>
      <c r="F8" s="476">
        <v>45000000</v>
      </c>
      <c r="G8" s="476">
        <v>45000000</v>
      </c>
      <c r="H8" s="12">
        <v>42382</v>
      </c>
      <c r="I8" s="12">
        <f>H8+35</f>
        <v>42417</v>
      </c>
      <c r="J8" s="28"/>
      <c r="K8" s="12">
        <f>H8+180</f>
        <v>42562</v>
      </c>
      <c r="L8" s="84"/>
      <c r="M8" s="476">
        <f>G8-L8</f>
        <v>45000000</v>
      </c>
      <c r="N8" s="12">
        <v>42418</v>
      </c>
    </row>
    <row r="9" spans="1:19" ht="13.5" customHeight="1">
      <c r="A9" s="45" t="s">
        <v>325</v>
      </c>
      <c r="B9" s="364" t="s">
        <v>45</v>
      </c>
      <c r="C9" s="45" t="s">
        <v>324</v>
      </c>
      <c r="D9" s="45" t="s">
        <v>262</v>
      </c>
      <c r="E9" s="45" t="s">
        <v>83</v>
      </c>
      <c r="F9" s="365"/>
      <c r="G9" s="365"/>
      <c r="H9" s="12"/>
      <c r="I9" s="12"/>
      <c r="J9" s="28"/>
      <c r="K9" s="12"/>
      <c r="L9" s="84"/>
      <c r="M9" s="84"/>
      <c r="N9" s="12"/>
      <c r="O9" s="45"/>
    </row>
    <row r="10" spans="1:19" ht="13.5" customHeight="1">
      <c r="A10" s="45">
        <v>4583</v>
      </c>
      <c r="B10" s="364" t="s">
        <v>86</v>
      </c>
      <c r="C10" s="364" t="s">
        <v>292</v>
      </c>
      <c r="D10" s="45" t="s">
        <v>251</v>
      </c>
      <c r="E10" s="45" t="s">
        <v>151</v>
      </c>
      <c r="F10" s="365">
        <v>50000000</v>
      </c>
      <c r="G10" s="365">
        <v>50000000</v>
      </c>
      <c r="H10" s="12">
        <v>42426</v>
      </c>
      <c r="I10" s="12">
        <f>H10+35</f>
        <v>42461</v>
      </c>
      <c r="J10" s="365">
        <v>50000000</v>
      </c>
      <c r="K10" s="12">
        <f>H10+180</f>
        <v>42606</v>
      </c>
      <c r="L10" s="469"/>
      <c r="M10" s="476">
        <f>J10-L10</f>
        <v>50000000</v>
      </c>
      <c r="N10" s="12">
        <v>42530</v>
      </c>
      <c r="O10" s="45"/>
    </row>
    <row r="11" spans="1:19" ht="13.5" customHeight="1">
      <c r="A11" s="45" t="s">
        <v>327</v>
      </c>
      <c r="B11" s="364" t="s">
        <v>45</v>
      </c>
      <c r="C11" s="45" t="s">
        <v>324</v>
      </c>
      <c r="D11" s="45" t="s">
        <v>329</v>
      </c>
      <c r="E11" s="45" t="s">
        <v>83</v>
      </c>
      <c r="F11" s="365"/>
      <c r="G11" s="365"/>
      <c r="H11" s="12"/>
      <c r="I11" s="12"/>
      <c r="J11" s="28"/>
      <c r="K11" s="12"/>
      <c r="L11" s="84"/>
      <c r="M11" s="84"/>
      <c r="N11" s="12"/>
      <c r="O11" s="45"/>
    </row>
    <row r="12" spans="1:19" ht="13.5" customHeight="1">
      <c r="A12" s="45" t="s">
        <v>328</v>
      </c>
      <c r="B12" s="364" t="s">
        <v>45</v>
      </c>
      <c r="C12" s="364" t="s">
        <v>292</v>
      </c>
      <c r="D12" s="45" t="s">
        <v>330</v>
      </c>
      <c r="E12" s="45" t="s">
        <v>151</v>
      </c>
      <c r="F12" s="365"/>
      <c r="G12" s="365"/>
      <c r="H12" s="12"/>
      <c r="I12" s="12"/>
      <c r="J12" s="28"/>
      <c r="K12" s="12"/>
      <c r="L12" s="84"/>
      <c r="M12" s="84"/>
      <c r="N12" s="12"/>
      <c r="O12" s="45"/>
    </row>
    <row r="13" spans="1:19" ht="13.5" customHeight="1">
      <c r="A13" s="45" t="s">
        <v>361</v>
      </c>
      <c r="B13" s="364" t="s">
        <v>45</v>
      </c>
      <c r="C13" s="364" t="s">
        <v>292</v>
      </c>
      <c r="D13" s="45" t="s">
        <v>332</v>
      </c>
      <c r="E13" s="1" t="s">
        <v>159</v>
      </c>
      <c r="F13" s="335"/>
      <c r="G13" s="335"/>
      <c r="H13" s="12"/>
      <c r="I13" s="12"/>
      <c r="J13" s="28"/>
      <c r="K13" s="12"/>
      <c r="L13" s="84"/>
      <c r="M13" s="84"/>
      <c r="N13" s="12"/>
      <c r="O13" s="45"/>
    </row>
    <row r="14" spans="1:19" ht="13.5" customHeight="1">
      <c r="A14" s="45" t="s">
        <v>386</v>
      </c>
      <c r="B14" s="364" t="s">
        <v>45</v>
      </c>
      <c r="C14" s="45" t="s">
        <v>324</v>
      </c>
      <c r="D14" s="45" t="s">
        <v>387</v>
      </c>
      <c r="E14" s="1" t="s">
        <v>388</v>
      </c>
      <c r="F14" s="335"/>
      <c r="G14" s="327"/>
      <c r="H14" s="12"/>
      <c r="I14" s="12"/>
      <c r="J14" s="28"/>
      <c r="K14" s="12"/>
      <c r="L14" s="84"/>
      <c r="M14" s="84"/>
      <c r="N14" s="12"/>
      <c r="O14" s="45"/>
    </row>
    <row r="15" spans="1:19" ht="11.25" customHeight="1">
      <c r="B15" s="45"/>
      <c r="C15" s="1"/>
      <c r="D15" s="1"/>
      <c r="E15" s="1"/>
      <c r="F15" s="10"/>
      <c r="G15" s="10"/>
      <c r="H15" s="12"/>
      <c r="I15" s="132"/>
      <c r="J15" s="10"/>
      <c r="K15" s="132"/>
      <c r="L15" s="84"/>
      <c r="M15" s="81"/>
      <c r="N15" s="12"/>
    </row>
    <row r="16" spans="1:19">
      <c r="A16" s="1"/>
      <c r="B16" s="1"/>
      <c r="C16" s="1"/>
      <c r="D16" s="14" t="s">
        <v>19</v>
      </c>
      <c r="F16" s="87">
        <f>SUM(F7:F15)</f>
        <v>119000000</v>
      </c>
      <c r="G16" s="87">
        <f>SUM(G7:G15)</f>
        <v>119000000</v>
      </c>
      <c r="H16" s="11"/>
      <c r="I16" s="11"/>
      <c r="J16" s="87">
        <f>SUM(J7:J15)</f>
        <v>74000000</v>
      </c>
      <c r="K16" s="11"/>
      <c r="L16" s="87">
        <f>SUM(L7:L15)</f>
        <v>7314000</v>
      </c>
      <c r="M16" s="87">
        <f>SUM(M7:M15)</f>
        <v>111686000</v>
      </c>
      <c r="N16" s="11"/>
      <c r="O16" s="1"/>
      <c r="P16" s="1"/>
      <c r="Q16" s="1"/>
      <c r="R16" s="1"/>
      <c r="S16" s="1"/>
    </row>
    <row r="17" spans="1:11">
      <c r="A17" s="1"/>
      <c r="B17" s="1"/>
      <c r="C17" s="1"/>
      <c r="F17" s="81"/>
      <c r="G17" s="81"/>
    </row>
    <row r="18" spans="1:11">
      <c r="A18" s="1"/>
      <c r="B18" s="1"/>
      <c r="C18" s="1"/>
      <c r="D18" s="14" t="s">
        <v>45</v>
      </c>
      <c r="F18" s="83">
        <f>F16-G16</f>
        <v>0</v>
      </c>
      <c r="G18" s="81"/>
    </row>
    <row r="19" spans="1:11">
      <c r="A19" s="45"/>
      <c r="B19" s="1"/>
      <c r="C19" s="1"/>
      <c r="F19" s="83"/>
      <c r="G19" s="81"/>
    </row>
    <row r="20" spans="1:11">
      <c r="A20" s="116"/>
      <c r="B20" s="1"/>
      <c r="C20" s="1"/>
      <c r="D20" s="207" t="s">
        <v>10</v>
      </c>
      <c r="F20" s="110">
        <f>+C1-G16+M16+E23</f>
        <v>28825777.4234</v>
      </c>
      <c r="G20" s="131" t="s">
        <v>570</v>
      </c>
      <c r="J20" s="239"/>
      <c r="K20" s="12"/>
    </row>
    <row r="21" spans="1:11">
      <c r="A21" s="45"/>
      <c r="B21" s="1"/>
      <c r="C21" s="1"/>
      <c r="D21" s="1"/>
      <c r="E21" s="1"/>
      <c r="F21" s="97"/>
    </row>
    <row r="22" spans="1:11">
      <c r="C22" s="364"/>
      <c r="D22" s="263"/>
    </row>
    <row r="23" spans="1:11">
      <c r="E23" s="89"/>
    </row>
    <row r="24" spans="1:11">
      <c r="F24" s="77"/>
      <c r="G24" s="77"/>
    </row>
    <row r="25" spans="1:11">
      <c r="G25" s="35"/>
    </row>
    <row r="32" spans="1:11">
      <c r="H32" s="14" t="s">
        <v>7</v>
      </c>
    </row>
  </sheetData>
  <phoneticPr fontId="0" type="noConversion"/>
  <pageMargins left="0.75" right="0.75" top="1" bottom="1" header="0.5" footer="0.5"/>
  <pageSetup scale="82" fitToHeight="2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25"/>
  <sheetViews>
    <sheetView zoomScaleNormal="100" workbookViewId="0">
      <selection activeCell="G12" sqref="G12"/>
    </sheetView>
  </sheetViews>
  <sheetFormatPr defaultColWidth="10.85546875" defaultRowHeight="12"/>
  <cols>
    <col min="1" max="1" width="14.42578125" style="14" bestFit="1" customWidth="1"/>
    <col min="2" max="2" width="7.85546875" style="14" bestFit="1" customWidth="1"/>
    <col min="3" max="3" width="20.5703125" style="14" customWidth="1"/>
    <col min="4" max="4" width="15.5703125" style="14" customWidth="1"/>
    <col min="5" max="5" width="10" style="14" bestFit="1" customWidth="1"/>
    <col min="6" max="6" width="16" style="13" bestFit="1" customWidth="1"/>
    <col min="7" max="7" width="16" style="36" bestFit="1" customWidth="1"/>
    <col min="8" max="8" width="13.7109375" style="14" customWidth="1"/>
    <col min="9" max="9" width="9.7109375" style="14" bestFit="1" customWidth="1"/>
    <col min="10" max="10" width="16" style="36" bestFit="1" customWidth="1"/>
    <col min="11" max="11" width="11" style="14" bestFit="1" customWidth="1"/>
    <col min="12" max="12" width="12.85546875" style="60" bestFit="1" customWidth="1"/>
    <col min="13" max="13" width="12" style="13" bestFit="1" customWidth="1"/>
    <col min="14" max="14" width="12.42578125" style="14" bestFit="1" customWidth="1"/>
    <col min="15" max="15" width="7" style="14" bestFit="1" customWidth="1"/>
    <col min="16" max="16384" width="10.85546875" style="14"/>
  </cols>
  <sheetData>
    <row r="1" spans="1:20" s="25" customFormat="1">
      <c r="A1" s="211" t="s">
        <v>12</v>
      </c>
      <c r="C1" s="22">
        <v>25846094.689799998</v>
      </c>
      <c r="D1" s="22"/>
      <c r="E1" s="22"/>
      <c r="F1" s="46"/>
      <c r="G1" s="47"/>
      <c r="H1" s="23"/>
      <c r="I1" s="23"/>
      <c r="J1" s="47"/>
      <c r="K1" s="23"/>
      <c r="L1" s="58"/>
      <c r="M1" s="46"/>
      <c r="N1" s="212"/>
      <c r="O1" s="5"/>
      <c r="P1" s="5"/>
      <c r="Q1" s="5"/>
      <c r="R1" s="5"/>
      <c r="S1" s="5"/>
      <c r="T1" s="5"/>
    </row>
    <row r="2" spans="1:20">
      <c r="A2" s="213" t="s">
        <v>77</v>
      </c>
      <c r="C2" s="37"/>
      <c r="D2" s="37"/>
      <c r="E2" s="37"/>
      <c r="F2" s="48"/>
      <c r="G2" s="49"/>
      <c r="H2" s="12"/>
      <c r="I2" s="12"/>
      <c r="J2" s="49"/>
      <c r="K2" s="12"/>
      <c r="L2" s="59"/>
      <c r="M2" s="48"/>
      <c r="N2" s="92"/>
      <c r="O2" s="5"/>
      <c r="P2" s="5"/>
      <c r="Q2" s="5"/>
      <c r="R2" s="5"/>
      <c r="S2" s="5"/>
      <c r="T2" s="5"/>
    </row>
    <row r="3" spans="1:20">
      <c r="A3" s="214"/>
      <c r="F3" s="48"/>
      <c r="G3" s="49"/>
      <c r="H3" s="12"/>
      <c r="I3" s="12"/>
      <c r="J3" s="49"/>
      <c r="K3" s="12"/>
      <c r="L3" s="59"/>
      <c r="M3" s="48"/>
      <c r="N3" s="92"/>
      <c r="O3" s="5"/>
      <c r="P3" s="5"/>
      <c r="Q3" s="5"/>
      <c r="R3" s="5"/>
      <c r="S3" s="5"/>
      <c r="T3" s="5"/>
    </row>
    <row r="4" spans="1:20" s="5" customFormat="1">
      <c r="A4" s="214" t="s">
        <v>34</v>
      </c>
      <c r="B4" s="14" t="s">
        <v>39</v>
      </c>
      <c r="C4" s="14" t="s">
        <v>32</v>
      </c>
      <c r="D4" s="37" t="s">
        <v>51</v>
      </c>
      <c r="E4" s="14" t="s">
        <v>47</v>
      </c>
      <c r="F4" s="48" t="s">
        <v>24</v>
      </c>
      <c r="G4" s="49" t="s">
        <v>8</v>
      </c>
      <c r="H4" s="12" t="s">
        <v>14</v>
      </c>
      <c r="I4" s="12" t="s">
        <v>36</v>
      </c>
      <c r="J4" s="49" t="s">
        <v>4</v>
      </c>
      <c r="K4" s="12" t="s">
        <v>346</v>
      </c>
      <c r="L4" s="48" t="s">
        <v>28</v>
      </c>
      <c r="M4" s="48" t="s">
        <v>46</v>
      </c>
      <c r="N4" s="92" t="s">
        <v>23</v>
      </c>
    </row>
    <row r="5" spans="1:20" s="5" customFormat="1">
      <c r="A5" s="214" t="s">
        <v>50</v>
      </c>
      <c r="B5" s="14"/>
      <c r="C5" s="14"/>
      <c r="D5" s="37"/>
      <c r="E5" s="37"/>
      <c r="F5" s="48" t="s">
        <v>44</v>
      </c>
      <c r="G5" s="49" t="s">
        <v>44</v>
      </c>
      <c r="H5" s="12" t="s">
        <v>9</v>
      </c>
      <c r="I5" s="12" t="s">
        <v>18</v>
      </c>
      <c r="J5" s="49" t="s">
        <v>44</v>
      </c>
      <c r="K5" s="12" t="s">
        <v>18</v>
      </c>
      <c r="L5" s="48" t="s">
        <v>44</v>
      </c>
      <c r="M5" s="48" t="s">
        <v>44</v>
      </c>
      <c r="N5" s="92" t="s">
        <v>5</v>
      </c>
    </row>
    <row r="6" spans="1:20" s="5" customFormat="1" ht="12.75" thickBot="1">
      <c r="A6" s="215" t="s">
        <v>33</v>
      </c>
      <c r="B6" s="39"/>
      <c r="C6" s="39"/>
      <c r="D6" s="39"/>
      <c r="E6" s="39"/>
      <c r="F6" s="56"/>
      <c r="G6" s="216"/>
      <c r="H6" s="106"/>
      <c r="I6" s="106"/>
      <c r="J6" s="216"/>
      <c r="K6" s="106"/>
      <c r="L6" s="235"/>
      <c r="M6" s="56"/>
      <c r="N6" s="108" t="s">
        <v>9</v>
      </c>
    </row>
    <row r="7" spans="1:20">
      <c r="B7" s="45"/>
      <c r="C7" s="192"/>
      <c r="D7" s="1"/>
      <c r="E7" s="45"/>
      <c r="F7" s="84"/>
      <c r="G7" s="84"/>
      <c r="H7" s="148"/>
      <c r="I7" s="190"/>
      <c r="J7" s="84"/>
      <c r="K7" s="159"/>
      <c r="L7" s="84"/>
      <c r="M7" s="84"/>
      <c r="N7" s="12"/>
    </row>
    <row r="8" spans="1:20" s="4" customFormat="1">
      <c r="A8" s="14"/>
      <c r="B8" s="14"/>
      <c r="C8" s="1"/>
      <c r="D8" s="14" t="s">
        <v>19</v>
      </c>
      <c r="E8" s="14"/>
      <c r="F8" s="87">
        <f>SUM(F7:F7)</f>
        <v>0</v>
      </c>
      <c r="G8" s="102">
        <f>SUM(G7:G7)</f>
        <v>0</v>
      </c>
      <c r="H8" s="12"/>
      <c r="I8" s="12"/>
      <c r="J8" s="102">
        <f>SUM(J7:J7)</f>
        <v>0</v>
      </c>
      <c r="K8" s="12"/>
      <c r="L8" s="112">
        <f>SUM(L7:L7)</f>
        <v>0</v>
      </c>
      <c r="M8" s="112">
        <f>SUM(M7:M7)</f>
        <v>0</v>
      </c>
      <c r="N8" s="12"/>
    </row>
    <row r="9" spans="1:20">
      <c r="F9" s="35"/>
      <c r="G9" s="11"/>
      <c r="H9" s="12"/>
      <c r="I9" s="12"/>
      <c r="J9" s="11"/>
      <c r="K9" s="12"/>
      <c r="L9" s="61"/>
      <c r="M9" s="61"/>
      <c r="N9" s="12"/>
      <c r="O9" s="1"/>
      <c r="P9" s="1"/>
      <c r="Q9" s="1"/>
      <c r="R9" s="1"/>
      <c r="S9" s="1"/>
      <c r="T9" s="1"/>
    </row>
    <row r="10" spans="1:20">
      <c r="D10" s="14" t="s">
        <v>45</v>
      </c>
      <c r="F10" s="35">
        <v>0</v>
      </c>
      <c r="G10" s="127"/>
      <c r="H10" s="12"/>
      <c r="I10" s="12"/>
      <c r="J10" s="11"/>
      <c r="K10" s="12"/>
      <c r="L10" s="61"/>
      <c r="M10" s="61"/>
      <c r="N10" s="12"/>
      <c r="O10" s="1"/>
      <c r="P10" s="1"/>
      <c r="Q10" s="1"/>
      <c r="R10" s="1"/>
      <c r="S10" s="1"/>
      <c r="T10" s="1"/>
    </row>
    <row r="11" spans="1:20">
      <c r="G11" s="57"/>
      <c r="H11" s="12"/>
      <c r="I11" s="12"/>
      <c r="J11" s="57"/>
      <c r="K11" s="12"/>
      <c r="N11" s="12"/>
      <c r="O11" s="1"/>
      <c r="P11" s="1"/>
      <c r="Q11" s="1"/>
      <c r="R11" s="1"/>
      <c r="S11" s="1"/>
      <c r="T11" s="1"/>
    </row>
    <row r="12" spans="1:20">
      <c r="D12" s="207" t="s">
        <v>10</v>
      </c>
      <c r="F12" s="87">
        <f>SUM(C1-G8+M8)</f>
        <v>25846094.689799998</v>
      </c>
      <c r="G12" s="131" t="s">
        <v>570</v>
      </c>
      <c r="H12" s="12"/>
      <c r="I12" s="12"/>
      <c r="J12" s="57"/>
      <c r="K12" s="12"/>
      <c r="N12" s="12"/>
      <c r="O12" s="1"/>
      <c r="P12" s="1"/>
      <c r="Q12" s="1"/>
      <c r="R12" s="1"/>
      <c r="S12" s="1"/>
      <c r="T12" s="1"/>
    </row>
    <row r="13" spans="1:20">
      <c r="F13" s="81"/>
    </row>
    <row r="14" spans="1:20">
      <c r="D14" s="5"/>
      <c r="F14" s="84"/>
    </row>
    <row r="15" spans="1:20">
      <c r="F15" s="84"/>
    </row>
    <row r="16" spans="1:20">
      <c r="F16" s="84"/>
    </row>
    <row r="17" spans="6:6">
      <c r="F17" s="81"/>
    </row>
    <row r="18" spans="6:6">
      <c r="F18" s="81"/>
    </row>
    <row r="19" spans="6:6">
      <c r="F19" s="81"/>
    </row>
    <row r="20" spans="6:6">
      <c r="F20" s="81"/>
    </row>
    <row r="21" spans="6:6">
      <c r="F21" s="81"/>
    </row>
    <row r="22" spans="6:6">
      <c r="F22" s="81"/>
    </row>
    <row r="23" spans="6:6">
      <c r="F23" s="81"/>
    </row>
    <row r="24" spans="6:6">
      <c r="F24" s="81"/>
    </row>
    <row r="25" spans="6:6">
      <c r="F25" s="81"/>
    </row>
  </sheetData>
  <pageMargins left="0.75" right="0.75" top="1" bottom="1" header="0.5" footer="0.5"/>
  <pageSetup scale="72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/>
  <dimension ref="A1:T31"/>
  <sheetViews>
    <sheetView zoomScaleNormal="100" workbookViewId="0">
      <selection activeCell="L8" sqref="L8"/>
    </sheetView>
  </sheetViews>
  <sheetFormatPr defaultColWidth="10.85546875" defaultRowHeight="12"/>
  <cols>
    <col min="1" max="1" width="8.28515625" style="14" customWidth="1"/>
    <col min="2" max="2" width="11" style="14" bestFit="1" customWidth="1"/>
    <col min="3" max="3" width="41.28515625" style="14" bestFit="1" customWidth="1"/>
    <col min="4" max="4" width="27.28515625" style="14" bestFit="1" customWidth="1"/>
    <col min="5" max="5" width="13.5703125" style="14" customWidth="1"/>
    <col min="6" max="6" width="16" style="13" bestFit="1" customWidth="1"/>
    <col min="7" max="7" width="16" style="36" bestFit="1" customWidth="1"/>
    <col min="8" max="8" width="13.7109375" style="14" customWidth="1"/>
    <col min="9" max="9" width="9.7109375" style="14" bestFit="1" customWidth="1"/>
    <col min="10" max="10" width="16" style="36" bestFit="1" customWidth="1"/>
    <col min="11" max="11" width="9.7109375" style="14" bestFit="1" customWidth="1"/>
    <col min="12" max="12" width="12.85546875" style="60" bestFit="1" customWidth="1"/>
    <col min="13" max="13" width="12" style="13" bestFit="1" customWidth="1"/>
    <col min="14" max="14" width="12.42578125" style="14" bestFit="1" customWidth="1"/>
    <col min="15" max="15" width="7" style="14" bestFit="1" customWidth="1"/>
    <col min="16" max="16384" width="10.85546875" style="14"/>
  </cols>
  <sheetData>
    <row r="1" spans="1:20" s="25" customFormat="1">
      <c r="A1" s="211" t="s">
        <v>12</v>
      </c>
      <c r="C1" s="22">
        <v>48503385.489299998</v>
      </c>
      <c r="D1" s="22"/>
      <c r="E1" s="22"/>
      <c r="F1" s="46"/>
      <c r="G1" s="47"/>
      <c r="H1" s="23"/>
      <c r="I1" s="23"/>
      <c r="J1" s="47"/>
      <c r="K1" s="23"/>
      <c r="L1" s="58"/>
      <c r="M1" s="46"/>
      <c r="N1" s="212"/>
      <c r="O1" s="5"/>
      <c r="P1" s="5"/>
      <c r="Q1" s="5"/>
      <c r="R1" s="5"/>
      <c r="S1" s="5"/>
      <c r="T1" s="5"/>
    </row>
    <row r="2" spans="1:20">
      <c r="A2" s="213" t="s">
        <v>27</v>
      </c>
      <c r="C2" s="37"/>
      <c r="D2" s="37"/>
      <c r="E2" s="37"/>
      <c r="F2" s="48"/>
      <c r="G2" s="49"/>
      <c r="H2" s="12"/>
      <c r="I2" s="12"/>
      <c r="J2" s="49"/>
      <c r="K2" s="12"/>
      <c r="L2" s="59"/>
      <c r="M2" s="48"/>
      <c r="N2" s="92"/>
      <c r="O2" s="5"/>
      <c r="P2" s="5"/>
      <c r="Q2" s="5"/>
      <c r="R2" s="5"/>
      <c r="S2" s="5"/>
      <c r="T2" s="5"/>
    </row>
    <row r="3" spans="1:20">
      <c r="A3" s="214"/>
      <c r="F3" s="48"/>
      <c r="G3" s="49"/>
      <c r="H3" s="12"/>
      <c r="I3" s="12"/>
      <c r="J3" s="49"/>
      <c r="K3" s="12"/>
      <c r="L3" s="59"/>
      <c r="M3" s="48"/>
      <c r="N3" s="92"/>
      <c r="O3" s="5"/>
      <c r="P3" s="5"/>
      <c r="Q3" s="5"/>
      <c r="R3" s="5"/>
      <c r="S3" s="5"/>
      <c r="T3" s="5"/>
    </row>
    <row r="4" spans="1:20" s="5" customFormat="1">
      <c r="A4" s="214" t="s">
        <v>34</v>
      </c>
      <c r="B4" s="14" t="s">
        <v>39</v>
      </c>
      <c r="C4" s="14" t="s">
        <v>32</v>
      </c>
      <c r="D4" s="37" t="s">
        <v>51</v>
      </c>
      <c r="E4" s="14" t="s">
        <v>47</v>
      </c>
      <c r="F4" s="48" t="s">
        <v>24</v>
      </c>
      <c r="G4" s="49" t="s">
        <v>8</v>
      </c>
      <c r="H4" s="12" t="s">
        <v>14</v>
      </c>
      <c r="I4" s="12" t="s">
        <v>36</v>
      </c>
      <c r="J4" s="49" t="s">
        <v>4</v>
      </c>
      <c r="K4" s="12" t="s">
        <v>346</v>
      </c>
      <c r="L4" s="48" t="s">
        <v>28</v>
      </c>
      <c r="M4" s="48" t="s">
        <v>46</v>
      </c>
      <c r="N4" s="92" t="s">
        <v>23</v>
      </c>
    </row>
    <row r="5" spans="1:20" s="5" customFormat="1">
      <c r="A5" s="214" t="s">
        <v>50</v>
      </c>
      <c r="B5" s="14"/>
      <c r="C5" s="14"/>
      <c r="D5" s="37"/>
      <c r="E5" s="37"/>
      <c r="F5" s="48" t="s">
        <v>44</v>
      </c>
      <c r="G5" s="49" t="s">
        <v>44</v>
      </c>
      <c r="H5" s="12" t="s">
        <v>9</v>
      </c>
      <c r="I5" s="12" t="s">
        <v>18</v>
      </c>
      <c r="J5" s="49" t="s">
        <v>44</v>
      </c>
      <c r="K5" s="12" t="s">
        <v>18</v>
      </c>
      <c r="L5" s="48" t="s">
        <v>44</v>
      </c>
      <c r="M5" s="48" t="s">
        <v>44</v>
      </c>
      <c r="N5" s="92" t="s">
        <v>5</v>
      </c>
    </row>
    <row r="6" spans="1:20" s="5" customFormat="1" ht="12.75" thickBot="1">
      <c r="A6" s="215" t="s">
        <v>33</v>
      </c>
      <c r="B6" s="39"/>
      <c r="C6" s="39"/>
      <c r="D6" s="39"/>
      <c r="E6" s="39"/>
      <c r="F6" s="56"/>
      <c r="G6" s="216"/>
      <c r="H6" s="106"/>
      <c r="I6" s="106"/>
      <c r="J6" s="216"/>
      <c r="K6" s="106"/>
      <c r="L6" s="235"/>
      <c r="M6" s="56"/>
      <c r="N6" s="108" t="s">
        <v>9</v>
      </c>
    </row>
    <row r="7" spans="1:20">
      <c r="A7" s="14">
        <v>4552</v>
      </c>
      <c r="B7" s="45" t="s">
        <v>86</v>
      </c>
      <c r="C7" s="45" t="s">
        <v>224</v>
      </c>
      <c r="D7" s="45" t="s">
        <v>312</v>
      </c>
      <c r="E7" s="45" t="s">
        <v>85</v>
      </c>
      <c r="F7" s="97">
        <v>25000000</v>
      </c>
      <c r="G7" s="97">
        <v>25000000</v>
      </c>
      <c r="H7" s="148">
        <v>42374</v>
      </c>
      <c r="I7" s="190">
        <f>H7+35</f>
        <v>42409</v>
      </c>
      <c r="J7" s="84">
        <v>25000000</v>
      </c>
      <c r="K7" s="469">
        <f>H7+180</f>
        <v>42554</v>
      </c>
      <c r="L7" s="84">
        <v>18000000</v>
      </c>
      <c r="M7" s="84">
        <f>J7-L7</f>
        <v>7000000</v>
      </c>
      <c r="N7" s="12">
        <v>42544</v>
      </c>
    </row>
    <row r="8" spans="1:20">
      <c r="A8" s="14">
        <v>4560</v>
      </c>
      <c r="B8" s="45" t="s">
        <v>86</v>
      </c>
      <c r="C8" s="45" t="s">
        <v>224</v>
      </c>
      <c r="D8" s="45" t="s">
        <v>326</v>
      </c>
      <c r="E8" s="45" t="s">
        <v>85</v>
      </c>
      <c r="F8" s="468">
        <v>15000000</v>
      </c>
      <c r="G8" s="468">
        <v>15000000</v>
      </c>
      <c r="H8" s="148">
        <v>42381</v>
      </c>
      <c r="I8" s="190">
        <f>H8+35</f>
        <v>42416</v>
      </c>
      <c r="J8" s="84">
        <v>15000000</v>
      </c>
      <c r="K8" s="469">
        <f>H8+180</f>
        <v>42561</v>
      </c>
      <c r="L8" s="84">
        <v>7700000</v>
      </c>
      <c r="M8" s="84">
        <f>J8-L8</f>
        <v>7300000</v>
      </c>
      <c r="N8" s="12">
        <v>42542</v>
      </c>
      <c r="O8" s="14" t="s">
        <v>215</v>
      </c>
    </row>
    <row r="9" spans="1:20">
      <c r="A9" s="14" t="s">
        <v>367</v>
      </c>
      <c r="B9" s="45" t="s">
        <v>45</v>
      </c>
      <c r="C9" s="45" t="s">
        <v>224</v>
      </c>
      <c r="D9" s="45" t="s">
        <v>368</v>
      </c>
      <c r="E9" s="45" t="s">
        <v>85</v>
      </c>
      <c r="F9" s="468"/>
      <c r="G9" s="468"/>
      <c r="H9" s="148"/>
      <c r="I9" s="190"/>
      <c r="J9" s="84"/>
      <c r="K9" s="469"/>
      <c r="L9" s="84"/>
      <c r="M9" s="84"/>
      <c r="N9" s="12"/>
    </row>
    <row r="10" spans="1:20">
      <c r="A10" s="14" t="s">
        <v>377</v>
      </c>
      <c r="B10" s="45" t="s">
        <v>45</v>
      </c>
      <c r="C10" s="45" t="s">
        <v>224</v>
      </c>
      <c r="D10" s="45" t="s">
        <v>378</v>
      </c>
      <c r="E10" s="45" t="s">
        <v>85</v>
      </c>
      <c r="F10" s="468"/>
      <c r="G10" s="468"/>
      <c r="H10" s="148"/>
      <c r="I10" s="190"/>
      <c r="J10" s="84"/>
      <c r="K10" s="469"/>
      <c r="L10" s="84"/>
      <c r="M10" s="84"/>
      <c r="N10" s="12"/>
    </row>
    <row r="11" spans="1:20">
      <c r="A11" s="14" t="s">
        <v>403</v>
      </c>
      <c r="B11" s="45" t="s">
        <v>45</v>
      </c>
      <c r="C11" s="45" t="s">
        <v>224</v>
      </c>
      <c r="D11" s="45" t="s">
        <v>404</v>
      </c>
      <c r="E11" s="45" t="s">
        <v>85</v>
      </c>
      <c r="F11" s="468"/>
      <c r="G11" s="468"/>
      <c r="H11" s="148"/>
      <c r="I11" s="190"/>
      <c r="J11" s="84"/>
      <c r="K11" s="469"/>
      <c r="L11" s="84"/>
      <c r="M11" s="84"/>
      <c r="N11" s="12"/>
    </row>
    <row r="12" spans="1:20">
      <c r="A12" s="14" t="s">
        <v>406</v>
      </c>
      <c r="B12" s="45" t="s">
        <v>45</v>
      </c>
      <c r="C12" s="45" t="s">
        <v>224</v>
      </c>
      <c r="D12" s="45" t="s">
        <v>407</v>
      </c>
      <c r="E12" s="45" t="s">
        <v>85</v>
      </c>
      <c r="F12" s="468"/>
      <c r="G12" s="468"/>
      <c r="H12" s="148"/>
      <c r="I12" s="190"/>
      <c r="J12" s="84"/>
      <c r="K12" s="469"/>
      <c r="L12" s="84"/>
      <c r="M12" s="84"/>
      <c r="N12" s="12"/>
    </row>
    <row r="13" spans="1:20">
      <c r="B13" s="1"/>
      <c r="C13" s="1"/>
      <c r="D13" s="1"/>
      <c r="E13" s="1"/>
      <c r="F13" s="97"/>
      <c r="G13" s="97"/>
      <c r="H13" s="12"/>
      <c r="I13" s="132"/>
      <c r="J13" s="82"/>
      <c r="K13" s="132"/>
      <c r="L13" s="111"/>
      <c r="M13" s="111"/>
      <c r="N13" s="12"/>
      <c r="O13" s="45"/>
    </row>
    <row r="14" spans="1:20" s="4" customFormat="1">
      <c r="A14" s="14"/>
      <c r="B14" s="14"/>
      <c r="C14" s="1"/>
      <c r="D14" s="14" t="s">
        <v>19</v>
      </c>
      <c r="E14" s="14"/>
      <c r="F14" s="87">
        <f>SUM(F7:F13)</f>
        <v>40000000</v>
      </c>
      <c r="G14" s="102">
        <f>SUM(G7:G13)</f>
        <v>40000000</v>
      </c>
      <c r="H14" s="12"/>
      <c r="I14" s="12"/>
      <c r="J14" s="102">
        <f>SUM(J7:J13)</f>
        <v>40000000</v>
      </c>
      <c r="K14" s="12"/>
      <c r="L14" s="112">
        <f>SUM(L7:L13)</f>
        <v>25700000</v>
      </c>
      <c r="M14" s="112">
        <f>SUM(M7:M13)</f>
        <v>14300000</v>
      </c>
      <c r="N14" s="12"/>
    </row>
    <row r="15" spans="1:20">
      <c r="F15" s="35"/>
      <c r="G15" s="11"/>
      <c r="H15" s="12"/>
      <c r="I15" s="12"/>
      <c r="J15" s="11"/>
      <c r="K15" s="12"/>
      <c r="L15" s="61"/>
      <c r="M15" s="61"/>
      <c r="N15" s="12"/>
      <c r="O15" s="1"/>
      <c r="P15" s="1"/>
      <c r="Q15" s="1"/>
      <c r="R15" s="1"/>
      <c r="S15" s="1"/>
      <c r="T15" s="1"/>
    </row>
    <row r="16" spans="1:20">
      <c r="D16" s="14" t="s">
        <v>45</v>
      </c>
      <c r="F16" s="35">
        <f>F14-G14</f>
        <v>0</v>
      </c>
      <c r="G16" s="127"/>
      <c r="H16" s="12"/>
      <c r="I16" s="12"/>
      <c r="J16" s="11"/>
      <c r="K16" s="12"/>
      <c r="L16" s="61"/>
      <c r="M16" s="61"/>
      <c r="N16" s="12"/>
      <c r="O16" s="1"/>
      <c r="P16" s="1"/>
      <c r="Q16" s="1"/>
      <c r="R16" s="1"/>
      <c r="S16" s="1"/>
      <c r="T16" s="1"/>
    </row>
    <row r="17" spans="4:20">
      <c r="G17" s="57"/>
      <c r="H17" s="12"/>
      <c r="I17" s="12"/>
      <c r="J17" s="57"/>
      <c r="K17" s="12"/>
      <c r="N17" s="12"/>
      <c r="O17" s="1"/>
      <c r="P17" s="1"/>
      <c r="Q17" s="1"/>
      <c r="R17" s="1"/>
      <c r="S17" s="1"/>
      <c r="T17" s="1"/>
    </row>
    <row r="18" spans="4:20">
      <c r="D18" s="207" t="s">
        <v>78</v>
      </c>
      <c r="F18" s="87">
        <f>SUM(C1-G14+M14)</f>
        <v>22803385.489299998</v>
      </c>
      <c r="G18" s="131" t="s">
        <v>570</v>
      </c>
      <c r="H18" s="12"/>
      <c r="I18" s="12"/>
      <c r="J18" s="57"/>
      <c r="K18" s="12"/>
      <c r="N18" s="12"/>
      <c r="O18" s="1"/>
      <c r="P18" s="1"/>
      <c r="Q18" s="1"/>
      <c r="R18" s="1"/>
      <c r="S18" s="1"/>
      <c r="T18" s="1"/>
    </row>
    <row r="19" spans="4:20">
      <c r="F19" s="81"/>
    </row>
    <row r="20" spans="4:20">
      <c r="F20" s="84"/>
    </row>
    <row r="21" spans="4:20">
      <c r="F21" s="84"/>
    </row>
    <row r="22" spans="4:20">
      <c r="F22" s="84"/>
    </row>
    <row r="23" spans="4:20">
      <c r="F23" s="81"/>
    </row>
    <row r="24" spans="4:20">
      <c r="F24" s="81"/>
    </row>
    <row r="25" spans="4:20">
      <c r="F25" s="81"/>
    </row>
    <row r="26" spans="4:20">
      <c r="F26" s="81"/>
    </row>
    <row r="27" spans="4:20">
      <c r="F27" s="81"/>
    </row>
    <row r="28" spans="4:20">
      <c r="F28" s="81"/>
    </row>
    <row r="29" spans="4:20">
      <c r="F29" s="81"/>
    </row>
    <row r="30" spans="4:20">
      <c r="F30" s="81"/>
    </row>
    <row r="31" spans="4:20">
      <c r="F31" s="81"/>
    </row>
  </sheetData>
  <phoneticPr fontId="0" type="noConversion"/>
  <pageMargins left="0.75" right="0.75" top="1" bottom="1" header="0.5" footer="0.5"/>
  <pageSetup scale="72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>
    <pageSetUpPr fitToPage="1"/>
  </sheetPr>
  <dimension ref="A1:T12"/>
  <sheetViews>
    <sheetView zoomScaleNormal="100" workbookViewId="0">
      <selection activeCell="C1" sqref="C1"/>
    </sheetView>
  </sheetViews>
  <sheetFormatPr defaultColWidth="10.85546875" defaultRowHeight="12"/>
  <cols>
    <col min="1" max="1" width="8.28515625" style="14" customWidth="1"/>
    <col min="2" max="2" width="7.85546875" style="14" bestFit="1" customWidth="1"/>
    <col min="3" max="3" width="12.42578125" style="14" customWidth="1"/>
    <col min="4" max="4" width="8.85546875" style="14" bestFit="1" customWidth="1"/>
    <col min="5" max="5" width="10" style="14" bestFit="1" customWidth="1"/>
    <col min="6" max="6" width="12" style="13" bestFit="1" customWidth="1"/>
    <col min="7" max="7" width="11.42578125" style="36" bestFit="1" customWidth="1"/>
    <col min="8" max="8" width="13.7109375" style="14" customWidth="1"/>
    <col min="9" max="9" width="9.5703125" style="14" bestFit="1" customWidth="1"/>
    <col min="10" max="10" width="11.7109375" style="36" bestFit="1" customWidth="1"/>
    <col min="11" max="11" width="10.140625" style="14" bestFit="1" customWidth="1"/>
    <col min="12" max="12" width="12" style="13" customWidth="1"/>
    <col min="13" max="13" width="9.85546875" style="13" bestFit="1" customWidth="1"/>
    <col min="14" max="14" width="10.85546875" style="14" customWidth="1"/>
    <col min="15" max="15" width="3.140625" style="14" bestFit="1" customWidth="1"/>
    <col min="16" max="16384" width="10.85546875" style="14"/>
  </cols>
  <sheetData>
    <row r="1" spans="1:20" s="25" customFormat="1">
      <c r="A1" s="211" t="s">
        <v>12</v>
      </c>
      <c r="C1" s="22">
        <v>19636318.692899998</v>
      </c>
      <c r="D1" s="22"/>
      <c r="E1" s="22"/>
      <c r="F1" s="46"/>
      <c r="G1" s="47"/>
      <c r="H1" s="23"/>
      <c r="I1" s="23"/>
      <c r="J1" s="47"/>
      <c r="K1" s="23"/>
      <c r="L1" s="46"/>
      <c r="M1" s="46"/>
      <c r="N1" s="212"/>
      <c r="O1" s="14"/>
      <c r="P1" s="14"/>
      <c r="Q1" s="14"/>
      <c r="R1" s="14"/>
      <c r="S1" s="14"/>
      <c r="T1" s="14"/>
    </row>
    <row r="2" spans="1:20">
      <c r="A2" s="213" t="s">
        <v>43</v>
      </c>
      <c r="C2" s="37"/>
      <c r="D2" s="37"/>
      <c r="E2" s="37"/>
      <c r="F2" s="48"/>
      <c r="G2" s="49"/>
      <c r="H2" s="12"/>
      <c r="I2" s="12"/>
      <c r="J2" s="49"/>
      <c r="K2" s="12"/>
      <c r="L2" s="48"/>
      <c r="M2" s="48"/>
      <c r="N2" s="92"/>
    </row>
    <row r="3" spans="1:20">
      <c r="A3" s="214"/>
      <c r="F3" s="48"/>
      <c r="G3" s="49"/>
      <c r="H3" s="12"/>
      <c r="I3" s="12"/>
      <c r="J3" s="49"/>
      <c r="K3" s="12"/>
      <c r="L3" s="48"/>
      <c r="M3" s="48"/>
      <c r="N3" s="92"/>
    </row>
    <row r="4" spans="1:20">
      <c r="A4" s="214" t="s">
        <v>34</v>
      </c>
      <c r="B4" s="14" t="s">
        <v>39</v>
      </c>
      <c r="C4" s="14" t="s">
        <v>32</v>
      </c>
      <c r="D4" s="37" t="s">
        <v>51</v>
      </c>
      <c r="E4" s="14" t="s">
        <v>47</v>
      </c>
      <c r="F4" s="48" t="s">
        <v>24</v>
      </c>
      <c r="G4" s="49" t="s">
        <v>8</v>
      </c>
      <c r="H4" s="12" t="s">
        <v>14</v>
      </c>
      <c r="I4" s="12" t="s">
        <v>36</v>
      </c>
      <c r="J4" s="49" t="s">
        <v>4</v>
      </c>
      <c r="K4" s="12" t="s">
        <v>346</v>
      </c>
      <c r="L4" s="48" t="s">
        <v>28</v>
      </c>
      <c r="M4" s="48" t="s">
        <v>46</v>
      </c>
      <c r="N4" s="92" t="s">
        <v>23</v>
      </c>
    </row>
    <row r="5" spans="1:20">
      <c r="A5" s="214" t="s">
        <v>50</v>
      </c>
      <c r="D5" s="37"/>
      <c r="E5" s="37"/>
      <c r="F5" s="48" t="s">
        <v>44</v>
      </c>
      <c r="G5" s="49" t="s">
        <v>44</v>
      </c>
      <c r="H5" s="12" t="s">
        <v>9</v>
      </c>
      <c r="I5" s="12" t="s">
        <v>18</v>
      </c>
      <c r="J5" s="49" t="s">
        <v>44</v>
      </c>
      <c r="K5" s="12" t="s">
        <v>18</v>
      </c>
      <c r="L5" s="48" t="s">
        <v>44</v>
      </c>
      <c r="M5" s="48" t="s">
        <v>44</v>
      </c>
      <c r="N5" s="92" t="s">
        <v>5</v>
      </c>
    </row>
    <row r="6" spans="1:20" ht="12.75" thickBot="1">
      <c r="A6" s="215" t="s">
        <v>33</v>
      </c>
      <c r="B6" s="39"/>
      <c r="C6" s="39"/>
      <c r="D6" s="39"/>
      <c r="E6" s="39"/>
      <c r="F6" s="56"/>
      <c r="G6" s="216"/>
      <c r="H6" s="106"/>
      <c r="I6" s="106"/>
      <c r="J6" s="216"/>
      <c r="K6" s="106"/>
      <c r="L6" s="56"/>
      <c r="M6" s="56"/>
      <c r="N6" s="108" t="s">
        <v>9</v>
      </c>
    </row>
    <row r="7" spans="1:20" s="1" customFormat="1">
      <c r="A7" s="14"/>
      <c r="B7" s="14"/>
      <c r="C7" s="14"/>
      <c r="D7" s="14"/>
      <c r="E7" s="14"/>
      <c r="F7" s="83"/>
      <c r="G7" s="57"/>
      <c r="H7" s="12"/>
      <c r="I7" s="12"/>
      <c r="J7" s="57"/>
      <c r="K7" s="12"/>
      <c r="L7" s="84"/>
      <c r="M7" s="84"/>
      <c r="N7" s="12"/>
    </row>
    <row r="8" spans="1:20" s="1" customFormat="1">
      <c r="A8" s="14"/>
      <c r="B8" s="14"/>
      <c r="C8" s="14" t="s">
        <v>19</v>
      </c>
      <c r="D8" s="14"/>
      <c r="E8" s="14"/>
      <c r="F8" s="110">
        <f>SUM(F7:F7)</f>
        <v>0</v>
      </c>
      <c r="G8" s="110">
        <f>SUM(G7:G7)</f>
        <v>0</v>
      </c>
      <c r="H8" s="11"/>
      <c r="I8" s="11"/>
      <c r="J8" s="102">
        <f>SUM(J7:J7)</f>
        <v>0</v>
      </c>
      <c r="K8" s="12"/>
      <c r="L8" s="87">
        <f>SUM(L7:L7)</f>
        <v>0</v>
      </c>
      <c r="M8" s="87">
        <f>SUM(M7:M7)</f>
        <v>0</v>
      </c>
      <c r="N8" s="12"/>
    </row>
    <row r="9" spans="1:20">
      <c r="F9" s="83"/>
      <c r="G9" s="57"/>
      <c r="H9" s="12"/>
      <c r="I9" s="12"/>
      <c r="J9" s="57"/>
      <c r="K9" s="12"/>
      <c r="N9" s="12"/>
      <c r="O9" s="1"/>
      <c r="P9" s="1"/>
      <c r="Q9" s="1"/>
      <c r="R9" s="1"/>
      <c r="S9" s="1"/>
      <c r="T9" s="1"/>
    </row>
    <row r="10" spans="1:20">
      <c r="C10" s="14" t="s">
        <v>45</v>
      </c>
      <c r="F10" s="83">
        <f>SUM(F8-G8)</f>
        <v>0</v>
      </c>
      <c r="G10" s="127"/>
      <c r="H10" s="12"/>
      <c r="I10" s="12"/>
      <c r="J10" s="57"/>
      <c r="K10" s="12"/>
      <c r="N10" s="12"/>
      <c r="O10" s="1"/>
      <c r="P10" s="1"/>
      <c r="Q10" s="1"/>
      <c r="R10" s="1"/>
      <c r="S10" s="1"/>
      <c r="T10" s="1"/>
    </row>
    <row r="11" spans="1:20">
      <c r="F11" s="83"/>
      <c r="G11" s="57"/>
      <c r="H11" s="12"/>
      <c r="I11" s="12"/>
      <c r="J11" s="57"/>
      <c r="K11" s="12"/>
      <c r="N11" s="12"/>
      <c r="O11" s="1"/>
      <c r="P11" s="1"/>
      <c r="Q11" s="1"/>
      <c r="R11" s="1"/>
      <c r="S11" s="1"/>
      <c r="T11" s="1"/>
    </row>
    <row r="12" spans="1:20">
      <c r="C12" s="207" t="s">
        <v>78</v>
      </c>
      <c r="F12" s="110">
        <f>+C1-G8+M8</f>
        <v>19636318.692899998</v>
      </c>
      <c r="G12" s="131" t="s">
        <v>570</v>
      </c>
      <c r="H12" s="12"/>
      <c r="I12" s="12"/>
      <c r="J12" s="57"/>
      <c r="K12" s="12"/>
      <c r="N12" s="12"/>
      <c r="O12" s="1"/>
      <c r="P12" s="1"/>
      <c r="Q12" s="1"/>
      <c r="R12" s="1"/>
      <c r="S12" s="1"/>
      <c r="T12" s="1"/>
    </row>
  </sheetData>
  <phoneticPr fontId="0" type="noConversion"/>
  <pageMargins left="0.75" right="0.75" top="1" bottom="1" header="0.5" footer="0.5"/>
  <pageSetup scale="91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26"/>
  <sheetViews>
    <sheetView zoomScaleNormal="100" workbookViewId="0">
      <selection activeCell="G10" sqref="G10"/>
    </sheetView>
  </sheetViews>
  <sheetFormatPr defaultColWidth="10.85546875" defaultRowHeight="12"/>
  <cols>
    <col min="1" max="1" width="14.42578125" style="14" bestFit="1" customWidth="1"/>
    <col min="2" max="2" width="8.28515625" style="14" bestFit="1" customWidth="1"/>
    <col min="3" max="3" width="13" style="14" bestFit="1" customWidth="1"/>
    <col min="4" max="4" width="15.7109375" style="14" bestFit="1" customWidth="1"/>
    <col min="5" max="5" width="10.28515625" style="14" bestFit="1" customWidth="1"/>
    <col min="6" max="6" width="13.85546875" style="13" bestFit="1" customWidth="1"/>
    <col min="7" max="7" width="13.28515625" style="36" bestFit="1" customWidth="1"/>
    <col min="8" max="8" width="13.7109375" style="14" customWidth="1"/>
    <col min="9" max="9" width="10" style="14" bestFit="1" customWidth="1"/>
    <col min="10" max="10" width="13.28515625" style="36" bestFit="1" customWidth="1"/>
    <col min="11" max="11" width="9.140625" style="14" customWidth="1"/>
    <col min="12" max="12" width="13" style="13" bestFit="1" customWidth="1"/>
    <col min="13" max="13" width="14.42578125" style="13" customWidth="1"/>
    <col min="14" max="14" width="12" style="14" bestFit="1" customWidth="1"/>
    <col min="15" max="16384" width="10.85546875" style="14"/>
  </cols>
  <sheetData>
    <row r="1" spans="1:20" s="25" customFormat="1">
      <c r="A1" s="211" t="s">
        <v>12</v>
      </c>
      <c r="C1" s="22">
        <v>36027889.567599997</v>
      </c>
      <c r="D1" s="22"/>
      <c r="E1" s="22"/>
      <c r="F1" s="46"/>
      <c r="G1" s="47"/>
      <c r="H1" s="23"/>
      <c r="I1" s="23"/>
      <c r="J1" s="47"/>
      <c r="K1" s="23"/>
      <c r="L1" s="46"/>
      <c r="M1" s="46"/>
      <c r="N1" s="212"/>
      <c r="O1" s="5"/>
      <c r="P1" s="5"/>
      <c r="Q1" s="5"/>
      <c r="R1" s="5"/>
      <c r="S1" s="5"/>
      <c r="T1" s="5"/>
    </row>
    <row r="2" spans="1:20">
      <c r="A2" s="213" t="s">
        <v>76</v>
      </c>
      <c r="C2" s="37"/>
      <c r="D2" s="37"/>
      <c r="E2" s="37"/>
      <c r="F2" s="48"/>
      <c r="G2" s="49"/>
      <c r="H2" s="12"/>
      <c r="I2" s="12"/>
      <c r="J2" s="49"/>
      <c r="K2" s="12"/>
      <c r="L2" s="48"/>
      <c r="M2" s="48"/>
      <c r="N2" s="92"/>
      <c r="O2" s="5"/>
      <c r="P2" s="5"/>
      <c r="Q2" s="5"/>
      <c r="R2" s="5"/>
      <c r="S2" s="5"/>
      <c r="T2" s="5"/>
    </row>
    <row r="3" spans="1:20">
      <c r="A3" s="214"/>
      <c r="F3" s="48"/>
      <c r="G3" s="49"/>
      <c r="H3" s="12"/>
      <c r="I3" s="12"/>
      <c r="J3" s="49"/>
      <c r="K3" s="12"/>
      <c r="L3" s="48"/>
      <c r="M3" s="48"/>
      <c r="N3" s="92"/>
      <c r="O3" s="5"/>
      <c r="P3" s="5"/>
      <c r="Q3" s="5"/>
      <c r="R3" s="5"/>
      <c r="S3" s="5"/>
      <c r="T3" s="5"/>
    </row>
    <row r="4" spans="1:20" s="5" customFormat="1">
      <c r="A4" s="214" t="s">
        <v>34</v>
      </c>
      <c r="B4" s="14" t="s">
        <v>39</v>
      </c>
      <c r="C4" s="14" t="s">
        <v>32</v>
      </c>
      <c r="D4" s="37" t="s">
        <v>51</v>
      </c>
      <c r="E4" s="14" t="s">
        <v>47</v>
      </c>
      <c r="F4" s="48" t="s">
        <v>24</v>
      </c>
      <c r="G4" s="49" t="s">
        <v>8</v>
      </c>
      <c r="H4" s="12" t="s">
        <v>14</v>
      </c>
      <c r="I4" s="12" t="s">
        <v>36</v>
      </c>
      <c r="J4" s="49" t="s">
        <v>4</v>
      </c>
      <c r="K4" s="12" t="s">
        <v>346</v>
      </c>
      <c r="L4" s="48" t="s">
        <v>28</v>
      </c>
      <c r="M4" s="48" t="s">
        <v>46</v>
      </c>
      <c r="N4" s="92" t="s">
        <v>23</v>
      </c>
    </row>
    <row r="5" spans="1:20" s="5" customFormat="1">
      <c r="A5" s="214" t="s">
        <v>50</v>
      </c>
      <c r="B5" s="14"/>
      <c r="C5" s="14"/>
      <c r="D5" s="37"/>
      <c r="E5" s="37"/>
      <c r="F5" s="48" t="s">
        <v>44</v>
      </c>
      <c r="G5" s="49" t="s">
        <v>44</v>
      </c>
      <c r="H5" s="12" t="s">
        <v>9</v>
      </c>
      <c r="I5" s="12" t="s">
        <v>18</v>
      </c>
      <c r="J5" s="49" t="s">
        <v>44</v>
      </c>
      <c r="K5" s="12" t="s">
        <v>18</v>
      </c>
      <c r="L5" s="48" t="s">
        <v>44</v>
      </c>
      <c r="M5" s="48" t="s">
        <v>44</v>
      </c>
      <c r="N5" s="92" t="s">
        <v>5</v>
      </c>
    </row>
    <row r="6" spans="1:20" s="5" customFormat="1" ht="12.75" thickBot="1">
      <c r="A6" s="215" t="s">
        <v>33</v>
      </c>
      <c r="B6" s="39"/>
      <c r="C6" s="39"/>
      <c r="D6" s="39"/>
      <c r="E6" s="39"/>
      <c r="F6" s="56"/>
      <c r="G6" s="216"/>
      <c r="H6" s="106"/>
      <c r="I6" s="106"/>
      <c r="J6" s="216"/>
      <c r="K6" s="106"/>
      <c r="L6" s="56"/>
      <c r="M6" s="56"/>
      <c r="N6" s="108" t="s">
        <v>9</v>
      </c>
    </row>
    <row r="7" spans="1:20">
      <c r="A7" s="1"/>
      <c r="B7" s="1"/>
      <c r="C7" s="1"/>
      <c r="D7" s="1"/>
      <c r="E7" s="1"/>
      <c r="F7" s="97"/>
      <c r="G7" s="97"/>
      <c r="H7" s="12"/>
      <c r="I7" s="390"/>
      <c r="J7" s="28"/>
      <c r="K7" s="390"/>
      <c r="L7" s="36"/>
      <c r="M7" s="97"/>
      <c r="N7" s="12"/>
    </row>
    <row r="8" spans="1:20" s="4" customFormat="1">
      <c r="A8" s="14" t="s">
        <v>2</v>
      </c>
      <c r="B8" s="14"/>
      <c r="C8" s="1"/>
      <c r="D8" s="14" t="s">
        <v>19</v>
      </c>
      <c r="E8" s="14"/>
      <c r="F8" s="86">
        <f>SUM(F7:F7)</f>
        <v>0</v>
      </c>
      <c r="G8" s="114">
        <f>SUM(G7:G7)</f>
        <v>0</v>
      </c>
      <c r="H8" s="12"/>
      <c r="I8" s="12"/>
      <c r="J8" s="114">
        <f>SUM(J7:J7)</f>
        <v>0</v>
      </c>
      <c r="K8" s="12"/>
      <c r="L8" s="87">
        <f>SUM(L7:L7)</f>
        <v>0</v>
      </c>
      <c r="M8" s="87">
        <f>SUM(M7:M7)</f>
        <v>0</v>
      </c>
      <c r="N8" s="12"/>
    </row>
    <row r="9" spans="1:20">
      <c r="F9" s="81"/>
      <c r="G9" s="85"/>
      <c r="H9" s="12"/>
      <c r="I9" s="12"/>
      <c r="J9" s="57"/>
      <c r="K9" s="12"/>
      <c r="N9" s="12"/>
      <c r="O9" s="1"/>
      <c r="P9" s="1"/>
      <c r="Q9" s="1"/>
      <c r="R9" s="1"/>
      <c r="S9" s="1"/>
      <c r="T9" s="1"/>
    </row>
    <row r="10" spans="1:20">
      <c r="D10" s="14" t="s">
        <v>45</v>
      </c>
      <c r="F10" s="81">
        <f>SUM(F8-G8)</f>
        <v>0</v>
      </c>
      <c r="G10" s="85"/>
      <c r="H10" s="12"/>
      <c r="I10" s="12"/>
      <c r="J10" s="57"/>
      <c r="K10" s="12"/>
      <c r="N10" s="12"/>
      <c r="O10" s="1"/>
      <c r="P10" s="1"/>
      <c r="Q10" s="1"/>
      <c r="R10" s="1"/>
      <c r="S10" s="1"/>
      <c r="T10" s="1"/>
    </row>
    <row r="11" spans="1:20">
      <c r="F11" s="81"/>
      <c r="G11" s="85"/>
      <c r="H11" s="12"/>
      <c r="I11" s="12"/>
      <c r="J11" s="57"/>
      <c r="K11" s="12"/>
      <c r="N11" s="12"/>
      <c r="O11" s="1"/>
      <c r="P11" s="1"/>
      <c r="Q11" s="1"/>
      <c r="R11" s="1"/>
      <c r="S11" s="1"/>
      <c r="T11" s="1"/>
    </row>
    <row r="12" spans="1:20">
      <c r="D12" s="207" t="s">
        <v>78</v>
      </c>
      <c r="F12" s="86">
        <f>+C1-G8+M8</f>
        <v>36027889.567599997</v>
      </c>
      <c r="G12" s="131" t="s">
        <v>570</v>
      </c>
      <c r="H12" s="12"/>
      <c r="I12" s="12"/>
      <c r="J12" s="57"/>
      <c r="K12" s="12"/>
      <c r="N12" s="12"/>
      <c r="O12" s="1"/>
      <c r="P12" s="1"/>
      <c r="Q12" s="1"/>
      <c r="R12" s="1"/>
      <c r="S12" s="1"/>
      <c r="T12" s="1"/>
    </row>
    <row r="19" spans="5:8">
      <c r="E19" s="37"/>
    </row>
    <row r="26" spans="5:8">
      <c r="H26" s="36"/>
    </row>
  </sheetData>
  <pageMargins left="0.75" right="0.75" top="1" bottom="1" header="0.5" footer="0.5"/>
  <pageSetup scale="5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27"/>
  <sheetViews>
    <sheetView zoomScaleNormal="100" workbookViewId="0">
      <selection activeCell="G13" sqref="G13"/>
    </sheetView>
  </sheetViews>
  <sheetFormatPr defaultColWidth="10.85546875" defaultRowHeight="12"/>
  <cols>
    <col min="1" max="1" width="8" style="14" customWidth="1"/>
    <col min="2" max="2" width="8.28515625" style="14" bestFit="1" customWidth="1"/>
    <col min="3" max="3" width="27.28515625" style="14" bestFit="1" customWidth="1"/>
    <col min="4" max="4" width="20.28515625" style="14" bestFit="1" customWidth="1"/>
    <col min="5" max="5" width="10.28515625" style="14" bestFit="1" customWidth="1"/>
    <col min="6" max="6" width="13.28515625" style="13" bestFit="1" customWidth="1"/>
    <col min="7" max="7" width="13.28515625" style="36" bestFit="1" customWidth="1"/>
    <col min="8" max="8" width="13.7109375" style="14" customWidth="1"/>
    <col min="9" max="9" width="10" style="14" bestFit="1" customWidth="1"/>
    <col min="10" max="10" width="13.28515625" style="36" bestFit="1" customWidth="1"/>
    <col min="11" max="11" width="9.140625" style="14" customWidth="1"/>
    <col min="12" max="12" width="13" style="13" bestFit="1" customWidth="1"/>
    <col min="13" max="13" width="14.42578125" style="13" customWidth="1"/>
    <col min="14" max="14" width="12" style="14" bestFit="1" customWidth="1"/>
    <col min="15" max="16384" width="10.85546875" style="14"/>
  </cols>
  <sheetData>
    <row r="1" spans="1:20" s="25" customFormat="1">
      <c r="A1" s="211" t="s">
        <v>12</v>
      </c>
      <c r="C1" s="22">
        <v>14097869.830800001</v>
      </c>
      <c r="D1" s="22"/>
      <c r="E1" s="22"/>
      <c r="F1" s="46"/>
      <c r="G1" s="47"/>
      <c r="H1" s="23"/>
      <c r="I1" s="23"/>
      <c r="J1" s="47"/>
      <c r="K1" s="23"/>
      <c r="L1" s="46"/>
      <c r="M1" s="46"/>
      <c r="N1" s="212"/>
      <c r="O1" s="5"/>
      <c r="P1" s="5"/>
      <c r="Q1" s="5"/>
      <c r="R1" s="5"/>
      <c r="S1" s="5"/>
      <c r="T1" s="5"/>
    </row>
    <row r="2" spans="1:20">
      <c r="A2" s="213" t="s">
        <v>75</v>
      </c>
      <c r="C2" s="37"/>
      <c r="D2" s="37"/>
      <c r="E2" s="37"/>
      <c r="F2" s="48"/>
      <c r="G2" s="49"/>
      <c r="H2" s="12"/>
      <c r="I2" s="12"/>
      <c r="J2" s="49"/>
      <c r="K2" s="12"/>
      <c r="L2" s="48"/>
      <c r="M2" s="48"/>
      <c r="N2" s="92"/>
      <c r="O2" s="5"/>
      <c r="P2" s="5"/>
      <c r="Q2" s="5"/>
      <c r="R2" s="5"/>
      <c r="S2" s="5"/>
      <c r="T2" s="5"/>
    </row>
    <row r="3" spans="1:20">
      <c r="A3" s="214"/>
      <c r="F3" s="48"/>
      <c r="G3" s="49"/>
      <c r="H3" s="12"/>
      <c r="I3" s="12"/>
      <c r="J3" s="49"/>
      <c r="K3" s="12"/>
      <c r="L3" s="48"/>
      <c r="M3" s="48"/>
      <c r="N3" s="92"/>
      <c r="O3" s="5"/>
      <c r="P3" s="5"/>
      <c r="Q3" s="5"/>
      <c r="R3" s="5"/>
      <c r="S3" s="5"/>
      <c r="T3" s="5"/>
    </row>
    <row r="4" spans="1:20" s="5" customFormat="1">
      <c r="A4" s="214" t="s">
        <v>34</v>
      </c>
      <c r="B4" s="14" t="s">
        <v>39</v>
      </c>
      <c r="C4" s="14" t="s">
        <v>32</v>
      </c>
      <c r="D4" s="37" t="s">
        <v>51</v>
      </c>
      <c r="E4" s="14" t="s">
        <v>47</v>
      </c>
      <c r="F4" s="48" t="s">
        <v>24</v>
      </c>
      <c r="G4" s="49" t="s">
        <v>8</v>
      </c>
      <c r="H4" s="12" t="s">
        <v>14</v>
      </c>
      <c r="I4" s="12" t="s">
        <v>36</v>
      </c>
      <c r="J4" s="49" t="s">
        <v>4</v>
      </c>
      <c r="K4" s="12" t="s">
        <v>346</v>
      </c>
      <c r="L4" s="48" t="s">
        <v>28</v>
      </c>
      <c r="M4" s="48" t="s">
        <v>46</v>
      </c>
      <c r="N4" s="92" t="s">
        <v>23</v>
      </c>
    </row>
    <row r="5" spans="1:20" s="5" customFormat="1">
      <c r="A5" s="214" t="s">
        <v>50</v>
      </c>
      <c r="B5" s="14"/>
      <c r="C5" s="14"/>
      <c r="D5" s="37"/>
      <c r="E5" s="37"/>
      <c r="F5" s="48" t="s">
        <v>44</v>
      </c>
      <c r="G5" s="49" t="s">
        <v>44</v>
      </c>
      <c r="H5" s="12" t="s">
        <v>9</v>
      </c>
      <c r="I5" s="12" t="s">
        <v>18</v>
      </c>
      <c r="J5" s="49" t="s">
        <v>44</v>
      </c>
      <c r="K5" s="12" t="s">
        <v>18</v>
      </c>
      <c r="L5" s="48" t="s">
        <v>44</v>
      </c>
      <c r="M5" s="48" t="s">
        <v>44</v>
      </c>
      <c r="N5" s="92" t="s">
        <v>5</v>
      </c>
    </row>
    <row r="6" spans="1:20" s="5" customFormat="1" ht="12.75" thickBot="1">
      <c r="A6" s="215" t="s">
        <v>33</v>
      </c>
      <c r="B6" s="39"/>
      <c r="C6" s="39"/>
      <c r="D6" s="39"/>
      <c r="E6" s="39"/>
      <c r="F6" s="56"/>
      <c r="G6" s="216"/>
      <c r="H6" s="106"/>
      <c r="I6" s="106"/>
      <c r="J6" s="216"/>
      <c r="K6" s="106"/>
      <c r="L6" s="56"/>
      <c r="M6" s="56"/>
      <c r="N6" s="108" t="s">
        <v>9</v>
      </c>
    </row>
    <row r="7" spans="1:20" s="5" customFormat="1">
      <c r="A7" s="14" t="s">
        <v>390</v>
      </c>
      <c r="B7" s="14" t="s">
        <v>45</v>
      </c>
      <c r="C7" s="14" t="s">
        <v>391</v>
      </c>
      <c r="D7" s="14" t="s">
        <v>392</v>
      </c>
      <c r="E7" s="14" t="s">
        <v>393</v>
      </c>
      <c r="F7" s="64"/>
      <c r="G7" s="49"/>
      <c r="H7" s="12"/>
      <c r="I7" s="12"/>
      <c r="J7" s="49"/>
      <c r="K7" s="12"/>
      <c r="L7" s="48"/>
      <c r="M7" s="48"/>
      <c r="N7" s="12"/>
    </row>
    <row r="8" spans="1:20">
      <c r="A8" s="1"/>
      <c r="B8" s="1"/>
      <c r="C8" s="1"/>
      <c r="D8" s="1"/>
      <c r="E8" s="1"/>
      <c r="F8" s="227"/>
      <c r="G8" s="97"/>
      <c r="H8" s="12"/>
      <c r="I8" s="390"/>
      <c r="J8" s="28"/>
      <c r="K8" s="390"/>
      <c r="L8" s="36"/>
      <c r="M8" s="97"/>
      <c r="N8" s="12"/>
    </row>
    <row r="9" spans="1:20" s="4" customFormat="1">
      <c r="A9" s="14" t="s">
        <v>2</v>
      </c>
      <c r="B9" s="14"/>
      <c r="C9" s="1"/>
      <c r="D9" s="14" t="s">
        <v>19</v>
      </c>
      <c r="E9" s="14"/>
      <c r="F9" s="391">
        <f>SUM(F7:F8)</f>
        <v>0</v>
      </c>
      <c r="G9" s="88">
        <f>SUM(G7:G8)</f>
        <v>0</v>
      </c>
      <c r="H9" s="57"/>
      <c r="I9" s="57"/>
      <c r="J9" s="88">
        <f>SUM(J7:J8)</f>
        <v>0</v>
      </c>
      <c r="K9" s="57"/>
      <c r="L9" s="88">
        <f>SUM(L7:L8)</f>
        <v>0</v>
      </c>
      <c r="M9" s="88">
        <f>SUM(M7:M8)</f>
        <v>0</v>
      </c>
      <c r="N9" s="12"/>
    </row>
    <row r="10" spans="1:20">
      <c r="F10" s="81"/>
      <c r="G10" s="85"/>
      <c r="H10" s="12"/>
      <c r="I10" s="12"/>
      <c r="J10" s="57"/>
      <c r="K10" s="12"/>
      <c r="N10" s="12"/>
      <c r="O10" s="1"/>
      <c r="P10" s="1"/>
      <c r="Q10" s="1"/>
      <c r="R10" s="1"/>
      <c r="S10" s="1"/>
      <c r="T10" s="1"/>
    </row>
    <row r="11" spans="1:20">
      <c r="D11" s="14" t="s">
        <v>45</v>
      </c>
      <c r="F11" s="81">
        <f>SUM(F9-G9)</f>
        <v>0</v>
      </c>
      <c r="G11" s="85"/>
      <c r="H11" s="12"/>
      <c r="I11" s="12"/>
      <c r="J11" s="57"/>
      <c r="K11" s="12"/>
      <c r="N11" s="12"/>
      <c r="O11" s="1"/>
      <c r="P11" s="1"/>
      <c r="Q11" s="1"/>
      <c r="R11" s="1"/>
      <c r="S11" s="1"/>
      <c r="T11" s="1"/>
    </row>
    <row r="12" spans="1:20">
      <c r="F12" s="81"/>
      <c r="G12" s="85"/>
      <c r="H12" s="12"/>
      <c r="I12" s="12"/>
      <c r="J12" s="57"/>
      <c r="K12" s="12"/>
      <c r="N12" s="12"/>
      <c r="O12" s="1"/>
      <c r="P12" s="1"/>
      <c r="Q12" s="1"/>
      <c r="R12" s="1"/>
      <c r="S12" s="1"/>
      <c r="T12" s="1"/>
    </row>
    <row r="13" spans="1:20">
      <c r="D13" s="207" t="s">
        <v>78</v>
      </c>
      <c r="F13" s="86">
        <f>+C1-G9+M9</f>
        <v>14097869.830800001</v>
      </c>
      <c r="G13" s="131" t="s">
        <v>570</v>
      </c>
      <c r="H13" s="12"/>
      <c r="I13" s="12"/>
      <c r="J13" s="57"/>
      <c r="K13" s="12"/>
      <c r="N13" s="12"/>
      <c r="O13" s="1"/>
      <c r="P13" s="1"/>
      <c r="Q13" s="1"/>
      <c r="R13" s="1"/>
      <c r="S13" s="1"/>
      <c r="T13" s="1"/>
    </row>
    <row r="14" spans="1:20">
      <c r="G14" s="131"/>
    </row>
    <row r="27" spans="8:8">
      <c r="H27" s="36"/>
    </row>
  </sheetData>
  <pageMargins left="0.75" right="0.75" top="1" bottom="1" header="0.5" footer="0.5"/>
  <pageSetup scale="5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6"/>
  <dimension ref="A1:T26"/>
  <sheetViews>
    <sheetView zoomScaleNormal="100" workbookViewId="0">
      <selection activeCell="G12" sqref="G12"/>
    </sheetView>
  </sheetViews>
  <sheetFormatPr defaultColWidth="10.85546875" defaultRowHeight="12"/>
  <cols>
    <col min="1" max="1" width="14.42578125" style="14" bestFit="1" customWidth="1"/>
    <col min="2" max="2" width="7.85546875" style="14" bestFit="1" customWidth="1"/>
    <col min="3" max="3" width="22.28515625" style="14" customWidth="1"/>
    <col min="4" max="4" width="8.85546875" style="14" bestFit="1" customWidth="1"/>
    <col min="5" max="5" width="10.42578125" style="14" bestFit="1" customWidth="1"/>
    <col min="6" max="6" width="11.7109375" style="13" bestFit="1" customWidth="1"/>
    <col min="7" max="7" width="12.28515625" style="36" bestFit="1" customWidth="1"/>
    <col min="8" max="8" width="14.42578125" style="14" bestFit="1" customWidth="1"/>
    <col min="9" max="9" width="10.42578125" style="14" bestFit="1" customWidth="1"/>
    <col min="10" max="10" width="11.5703125" style="36" bestFit="1" customWidth="1"/>
    <col min="11" max="11" width="10.42578125" style="14" bestFit="1" customWidth="1"/>
    <col min="12" max="12" width="13.140625" style="13" bestFit="1" customWidth="1"/>
    <col min="13" max="13" width="10.42578125" style="13" bestFit="1" customWidth="1"/>
    <col min="14" max="14" width="10" style="14" bestFit="1" customWidth="1"/>
    <col min="15" max="16384" width="10.85546875" style="14"/>
  </cols>
  <sheetData>
    <row r="1" spans="1:20" s="25" customFormat="1">
      <c r="A1" s="211" t="s">
        <v>12</v>
      </c>
      <c r="C1" s="22">
        <v>18909047.630199999</v>
      </c>
      <c r="D1" s="22"/>
      <c r="E1" s="22"/>
      <c r="F1" s="46"/>
      <c r="G1" s="47"/>
      <c r="H1" s="23"/>
      <c r="I1" s="23"/>
      <c r="J1" s="47"/>
      <c r="K1" s="23"/>
      <c r="L1" s="46"/>
      <c r="M1" s="46"/>
      <c r="N1" s="212"/>
      <c r="O1" s="5"/>
      <c r="P1" s="5"/>
      <c r="Q1" s="5"/>
      <c r="R1" s="5"/>
      <c r="S1" s="5"/>
      <c r="T1" s="5"/>
    </row>
    <row r="2" spans="1:20">
      <c r="A2" s="213" t="s">
        <v>64</v>
      </c>
      <c r="C2" s="37"/>
      <c r="D2" s="37"/>
      <c r="E2" s="37"/>
      <c r="F2" s="48"/>
      <c r="G2" s="49"/>
      <c r="H2" s="12"/>
      <c r="I2" s="12"/>
      <c r="J2" s="49"/>
      <c r="K2" s="12"/>
      <c r="L2" s="48"/>
      <c r="M2" s="48"/>
      <c r="N2" s="92"/>
      <c r="O2" s="5"/>
      <c r="P2" s="5"/>
      <c r="Q2" s="5"/>
      <c r="R2" s="5"/>
      <c r="S2" s="5"/>
      <c r="T2" s="5"/>
    </row>
    <row r="3" spans="1:20">
      <c r="A3" s="214"/>
      <c r="F3" s="48"/>
      <c r="G3" s="49"/>
      <c r="H3" s="12"/>
      <c r="I3" s="12"/>
      <c r="J3" s="49"/>
      <c r="K3" s="12"/>
      <c r="L3" s="48"/>
      <c r="M3" s="48"/>
      <c r="N3" s="92"/>
      <c r="O3" s="5"/>
      <c r="P3" s="5"/>
      <c r="Q3" s="5"/>
      <c r="R3" s="5"/>
      <c r="S3" s="5"/>
      <c r="T3" s="5"/>
    </row>
    <row r="4" spans="1:20" s="5" customFormat="1">
      <c r="A4" s="214" t="s">
        <v>34</v>
      </c>
      <c r="B4" s="14" t="s">
        <v>39</v>
      </c>
      <c r="C4" s="14" t="s">
        <v>32</v>
      </c>
      <c r="D4" s="37" t="s">
        <v>51</v>
      </c>
      <c r="E4" s="14" t="s">
        <v>47</v>
      </c>
      <c r="F4" s="48" t="s">
        <v>24</v>
      </c>
      <c r="G4" s="49" t="s">
        <v>8</v>
      </c>
      <c r="H4" s="12" t="s">
        <v>14</v>
      </c>
      <c r="I4" s="12" t="s">
        <v>36</v>
      </c>
      <c r="J4" s="49" t="s">
        <v>4</v>
      </c>
      <c r="K4" s="12" t="s">
        <v>346</v>
      </c>
      <c r="L4" s="48" t="s">
        <v>28</v>
      </c>
      <c r="M4" s="48" t="s">
        <v>46</v>
      </c>
      <c r="N4" s="92" t="s">
        <v>23</v>
      </c>
    </row>
    <row r="5" spans="1:20" s="5" customFormat="1">
      <c r="A5" s="214" t="s">
        <v>50</v>
      </c>
      <c r="B5" s="14"/>
      <c r="C5" s="14"/>
      <c r="D5" s="37"/>
      <c r="E5" s="37"/>
      <c r="F5" s="48" t="s">
        <v>44</v>
      </c>
      <c r="G5" s="49" t="s">
        <v>44</v>
      </c>
      <c r="H5" s="12" t="s">
        <v>9</v>
      </c>
      <c r="I5" s="12" t="s">
        <v>18</v>
      </c>
      <c r="J5" s="49" t="s">
        <v>44</v>
      </c>
      <c r="K5" s="12" t="s">
        <v>18</v>
      </c>
      <c r="L5" s="48" t="s">
        <v>44</v>
      </c>
      <c r="M5" s="48" t="s">
        <v>44</v>
      </c>
      <c r="N5" s="92" t="s">
        <v>5</v>
      </c>
    </row>
    <row r="6" spans="1:20" s="5" customFormat="1" ht="12.75" thickBot="1">
      <c r="A6" s="215" t="s">
        <v>33</v>
      </c>
      <c r="B6" s="39"/>
      <c r="C6" s="39"/>
      <c r="D6" s="39"/>
      <c r="E6" s="39"/>
      <c r="F6" s="56"/>
      <c r="G6" s="216"/>
      <c r="H6" s="106"/>
      <c r="I6" s="106"/>
      <c r="J6" s="216"/>
      <c r="K6" s="106"/>
      <c r="L6" s="56"/>
      <c r="M6" s="56"/>
      <c r="N6" s="108" t="s">
        <v>9</v>
      </c>
    </row>
    <row r="7" spans="1:20">
      <c r="B7" s="45"/>
      <c r="C7" s="1"/>
      <c r="D7" s="45"/>
      <c r="E7" s="45"/>
      <c r="F7" s="10"/>
      <c r="G7" s="28"/>
      <c r="H7" s="12"/>
      <c r="I7" s="12"/>
      <c r="J7" s="49"/>
      <c r="K7" s="12"/>
      <c r="L7" s="49"/>
      <c r="M7" s="64"/>
      <c r="N7" s="12"/>
    </row>
    <row r="8" spans="1:20" s="4" customFormat="1">
      <c r="A8" s="14" t="s">
        <v>2</v>
      </c>
      <c r="B8" s="14"/>
      <c r="C8" s="1"/>
      <c r="D8" s="14" t="s">
        <v>19</v>
      </c>
      <c r="E8" s="14"/>
      <c r="F8" s="86">
        <f>SUM(F7:F7)</f>
        <v>0</v>
      </c>
      <c r="G8" s="86">
        <f>SUM(G7:G7)</f>
        <v>0</v>
      </c>
      <c r="H8" s="12"/>
      <c r="I8" s="12"/>
      <c r="J8" s="86">
        <f>SUM(J7:J7)</f>
        <v>0</v>
      </c>
      <c r="K8" s="12"/>
      <c r="L8" s="86">
        <f>SUM(L7:L7)</f>
        <v>0</v>
      </c>
      <c r="M8" s="86">
        <f>SUM(M7:M7)</f>
        <v>0</v>
      </c>
      <c r="N8" s="12"/>
    </row>
    <row r="9" spans="1:20">
      <c r="F9" s="81"/>
      <c r="G9" s="85"/>
      <c r="H9" s="12"/>
      <c r="I9" s="12"/>
      <c r="J9" s="57"/>
      <c r="K9" s="12"/>
      <c r="N9" s="12"/>
      <c r="O9" s="1"/>
      <c r="P9" s="1"/>
      <c r="Q9" s="1"/>
      <c r="R9" s="1"/>
      <c r="S9" s="1"/>
      <c r="T9" s="1"/>
    </row>
    <row r="10" spans="1:20">
      <c r="D10" s="14" t="s">
        <v>45</v>
      </c>
      <c r="F10" s="81">
        <f>SUM(F8-G8)</f>
        <v>0</v>
      </c>
      <c r="G10" s="85"/>
      <c r="H10" s="12"/>
      <c r="I10" s="12"/>
      <c r="J10" s="57"/>
      <c r="K10" s="12"/>
      <c r="N10" s="12"/>
      <c r="O10" s="1"/>
      <c r="P10" s="1"/>
      <c r="Q10" s="1"/>
      <c r="R10" s="1"/>
      <c r="S10" s="1"/>
      <c r="T10" s="1"/>
    </row>
    <row r="11" spans="1:20">
      <c r="D11" s="1"/>
      <c r="F11" s="81"/>
      <c r="G11" s="85"/>
      <c r="H11" s="12"/>
      <c r="I11" s="12"/>
      <c r="J11" s="57"/>
      <c r="K11" s="12"/>
      <c r="N11" s="12"/>
      <c r="O11" s="1"/>
      <c r="P11" s="1"/>
      <c r="Q11" s="1"/>
      <c r="R11" s="1"/>
      <c r="S11" s="1"/>
      <c r="T11" s="1"/>
    </row>
    <row r="12" spans="1:20">
      <c r="D12" s="207" t="s">
        <v>78</v>
      </c>
      <c r="F12" s="86">
        <f>+C1+F11-G8+M8</f>
        <v>18909047.630199999</v>
      </c>
      <c r="G12" s="131" t="s">
        <v>570</v>
      </c>
      <c r="H12" s="12"/>
      <c r="I12" s="12"/>
      <c r="J12" s="57"/>
      <c r="K12" s="12"/>
      <c r="N12" s="12"/>
      <c r="O12" s="1"/>
      <c r="P12" s="1"/>
      <c r="Q12" s="1"/>
      <c r="R12" s="1"/>
      <c r="S12" s="1"/>
      <c r="T12" s="1"/>
    </row>
    <row r="17" spans="8:9">
      <c r="I17" s="14" t="s">
        <v>7</v>
      </c>
    </row>
    <row r="26" spans="8:9">
      <c r="H26" s="36"/>
    </row>
  </sheetData>
  <phoneticPr fontId="3" type="noConversion"/>
  <pageMargins left="0.75" right="0.75" top="1" bottom="1" header="0.5" footer="0.5"/>
  <pageSetup scale="5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/>
  <dimension ref="A1:T89"/>
  <sheetViews>
    <sheetView zoomScaleNormal="100" workbookViewId="0">
      <pane xSplit="4" ySplit="6" topLeftCell="L40" activePane="bottomRight" state="frozen"/>
      <selection activeCell="K30" sqref="I28:K30"/>
      <selection pane="topRight" activeCell="K30" sqref="I28:K30"/>
      <selection pane="bottomLeft" activeCell="K30" sqref="I28:K30"/>
      <selection pane="bottomRight" activeCell="L80" sqref="L80"/>
    </sheetView>
  </sheetViews>
  <sheetFormatPr defaultColWidth="11.42578125" defaultRowHeight="12"/>
  <cols>
    <col min="1" max="1" width="11" style="1" customWidth="1"/>
    <col min="2" max="2" width="13.42578125" style="1" customWidth="1"/>
    <col min="3" max="3" width="42.42578125" style="1" bestFit="1" customWidth="1"/>
    <col min="4" max="4" width="39.28515625" style="1" bestFit="1" customWidth="1"/>
    <col min="5" max="5" width="11.7109375" style="1" bestFit="1" customWidth="1"/>
    <col min="6" max="6" width="13.85546875" style="97" bestFit="1" customWidth="1"/>
    <col min="7" max="7" width="14" style="1" bestFit="1" customWidth="1"/>
    <col min="8" max="8" width="15.28515625" style="1" bestFit="1" customWidth="1"/>
    <col min="9" max="9" width="12.42578125" style="1" bestFit="1" customWidth="1"/>
    <col min="10" max="10" width="14" style="10" bestFit="1" customWidth="1"/>
    <col min="11" max="11" width="10.85546875" style="1" bestFit="1" customWidth="1"/>
    <col min="12" max="12" width="13.7109375" style="1" customWidth="1"/>
    <col min="13" max="13" width="14.7109375" style="1" bestFit="1" customWidth="1"/>
    <col min="14" max="14" width="9.85546875" style="1" bestFit="1" customWidth="1"/>
    <col min="15" max="15" width="10.85546875" style="207" bestFit="1" customWidth="1"/>
    <col min="16" max="16384" width="11.42578125" style="1"/>
  </cols>
  <sheetData>
    <row r="1" spans="1:20" s="25" customFormat="1">
      <c r="A1" s="17" t="s">
        <v>217</v>
      </c>
      <c r="B1" s="18"/>
      <c r="C1" s="19">
        <f>Totals!I8</f>
        <v>898147413</v>
      </c>
      <c r="D1" s="366"/>
      <c r="E1" s="19"/>
      <c r="F1" s="201"/>
      <c r="G1" s="21"/>
      <c r="H1" s="22"/>
      <c r="I1" s="23"/>
      <c r="J1" s="20"/>
      <c r="K1" s="23"/>
      <c r="L1" s="20"/>
      <c r="M1" s="20"/>
      <c r="N1" s="24"/>
      <c r="O1" s="207"/>
      <c r="P1" s="14"/>
      <c r="Q1" s="14"/>
      <c r="R1" s="14"/>
      <c r="S1" s="14"/>
      <c r="T1" s="14"/>
    </row>
    <row r="2" spans="1:20" s="14" customFormat="1">
      <c r="A2" s="26" t="s">
        <v>31</v>
      </c>
      <c r="B2" s="5"/>
      <c r="C2" s="27"/>
      <c r="D2" s="27"/>
      <c r="E2" s="27"/>
      <c r="F2" s="84"/>
      <c r="G2" s="29"/>
      <c r="H2" s="30"/>
      <c r="I2" s="12"/>
      <c r="J2" s="28"/>
      <c r="K2" s="12"/>
      <c r="L2" s="28"/>
      <c r="M2" s="28"/>
      <c r="N2" s="31"/>
      <c r="O2" s="207"/>
    </row>
    <row r="3" spans="1:20" s="14" customFormat="1">
      <c r="A3" s="26"/>
      <c r="B3" s="5"/>
      <c r="C3" s="27"/>
      <c r="D3" s="27"/>
      <c r="E3" s="27"/>
      <c r="F3" s="84"/>
      <c r="G3" s="28"/>
      <c r="H3" s="12"/>
      <c r="I3" s="12"/>
      <c r="J3" s="28"/>
      <c r="K3" s="12"/>
      <c r="L3" s="28"/>
      <c r="M3" s="28"/>
      <c r="N3" s="31"/>
      <c r="O3" s="207"/>
    </row>
    <row r="4" spans="1:20" s="5" customFormat="1">
      <c r="A4" s="32" t="s">
        <v>34</v>
      </c>
      <c r="B4" s="5" t="s">
        <v>39</v>
      </c>
      <c r="C4" s="5" t="s">
        <v>32</v>
      </c>
      <c r="D4" s="27" t="s">
        <v>51</v>
      </c>
      <c r="E4" s="27" t="s">
        <v>47</v>
      </c>
      <c r="F4" s="109" t="s">
        <v>24</v>
      </c>
      <c r="G4" s="33" t="s">
        <v>8</v>
      </c>
      <c r="H4" s="7" t="s">
        <v>14</v>
      </c>
      <c r="I4" s="7" t="s">
        <v>36</v>
      </c>
      <c r="J4" s="33" t="s">
        <v>4</v>
      </c>
      <c r="K4" s="7" t="s">
        <v>347</v>
      </c>
      <c r="L4" s="33" t="s">
        <v>28</v>
      </c>
      <c r="M4" s="33" t="s">
        <v>46</v>
      </c>
      <c r="N4" s="31" t="s">
        <v>23</v>
      </c>
      <c r="O4" s="207"/>
      <c r="P4" s="14"/>
      <c r="Q4" s="14"/>
      <c r="R4" s="14"/>
      <c r="S4" s="14"/>
      <c r="T4" s="14"/>
    </row>
    <row r="5" spans="1:20" s="5" customFormat="1">
      <c r="A5" s="32" t="s">
        <v>50</v>
      </c>
      <c r="B5" s="14"/>
      <c r="D5" s="27"/>
      <c r="E5" s="27"/>
      <c r="F5" s="109" t="s">
        <v>44</v>
      </c>
      <c r="G5" s="33" t="s">
        <v>44</v>
      </c>
      <c r="H5" s="7" t="s">
        <v>9</v>
      </c>
      <c r="I5" s="7" t="s">
        <v>18</v>
      </c>
      <c r="J5" s="33" t="s">
        <v>44</v>
      </c>
      <c r="K5" s="7" t="s">
        <v>18</v>
      </c>
      <c r="L5" s="33" t="s">
        <v>44</v>
      </c>
      <c r="M5" s="33" t="s">
        <v>44</v>
      </c>
      <c r="N5" s="31" t="s">
        <v>5</v>
      </c>
      <c r="O5" s="207"/>
      <c r="P5" s="14"/>
      <c r="Q5" s="14"/>
      <c r="R5" s="14"/>
      <c r="S5" s="14"/>
      <c r="T5" s="14"/>
    </row>
    <row r="6" spans="1:20" s="5" customFormat="1" ht="12.75" thickBot="1">
      <c r="A6" s="38" t="s">
        <v>17</v>
      </c>
      <c r="B6" s="39"/>
      <c r="C6" s="34"/>
      <c r="D6" s="40"/>
      <c r="E6" s="40"/>
      <c r="F6" s="202"/>
      <c r="G6" s="66"/>
      <c r="H6" s="41"/>
      <c r="I6" s="41"/>
      <c r="J6" s="66"/>
      <c r="K6" s="41"/>
      <c r="L6" s="66"/>
      <c r="M6" s="66"/>
      <c r="N6" s="42" t="s">
        <v>9</v>
      </c>
      <c r="O6" s="207"/>
      <c r="P6" s="14"/>
      <c r="Q6" s="14"/>
      <c r="R6" s="14"/>
      <c r="S6" s="14"/>
      <c r="T6" s="14"/>
    </row>
    <row r="7" spans="1:20" s="14" customFormat="1">
      <c r="A7" s="14">
        <v>4530</v>
      </c>
      <c r="B7" s="14" t="s">
        <v>86</v>
      </c>
      <c r="C7" s="45" t="s">
        <v>276</v>
      </c>
      <c r="D7" s="250" t="s">
        <v>277</v>
      </c>
      <c r="E7" s="250" t="s">
        <v>278</v>
      </c>
      <c r="F7" s="82">
        <v>19000000</v>
      </c>
      <c r="G7" s="82">
        <v>19000000</v>
      </c>
      <c r="H7" s="12">
        <v>42370</v>
      </c>
      <c r="I7" s="12">
        <f t="shared" ref="I7:I16" si="0">H7+35</f>
        <v>42405</v>
      </c>
      <c r="J7" s="28">
        <v>19000000</v>
      </c>
      <c r="K7" s="12">
        <f>H7+180</f>
        <v>42550</v>
      </c>
      <c r="L7" s="28">
        <v>17700000</v>
      </c>
      <c r="M7" s="28">
        <f>J7-L7</f>
        <v>1300000</v>
      </c>
      <c r="N7" s="12">
        <v>42546</v>
      </c>
      <c r="O7" s="207"/>
    </row>
    <row r="8" spans="1:20" s="14" customFormat="1">
      <c r="A8" s="14">
        <v>4532</v>
      </c>
      <c r="B8" s="14" t="s">
        <v>86</v>
      </c>
      <c r="C8" s="45" t="s">
        <v>281</v>
      </c>
      <c r="D8" s="250" t="s">
        <v>245</v>
      </c>
      <c r="E8" s="250" t="s">
        <v>249</v>
      </c>
      <c r="F8" s="335">
        <v>38000000</v>
      </c>
      <c r="G8" s="335">
        <v>38000000</v>
      </c>
      <c r="H8" s="12">
        <v>42370</v>
      </c>
      <c r="I8" s="12">
        <f t="shared" si="0"/>
        <v>42405</v>
      </c>
      <c r="J8" s="365">
        <v>38000000</v>
      </c>
      <c r="K8" s="12">
        <f>H8+180</f>
        <v>42550</v>
      </c>
      <c r="L8" s="28">
        <v>21000000</v>
      </c>
      <c r="M8" s="28">
        <f>J8-L8</f>
        <v>17000000</v>
      </c>
      <c r="N8" s="12">
        <v>42545</v>
      </c>
      <c r="O8" s="207" t="s">
        <v>357</v>
      </c>
    </row>
    <row r="9" spans="1:20" s="14" customFormat="1">
      <c r="A9" s="14">
        <v>4533</v>
      </c>
      <c r="B9" s="14" t="s">
        <v>86</v>
      </c>
      <c r="C9" s="45" t="s">
        <v>107</v>
      </c>
      <c r="D9" s="250" t="s">
        <v>282</v>
      </c>
      <c r="E9" s="250" t="s">
        <v>84</v>
      </c>
      <c r="F9" s="335">
        <v>20000000</v>
      </c>
      <c r="G9" s="335">
        <v>20000000</v>
      </c>
      <c r="H9" s="12">
        <v>42370</v>
      </c>
      <c r="I9" s="12">
        <f t="shared" si="0"/>
        <v>42405</v>
      </c>
      <c r="J9" s="365">
        <v>20000000</v>
      </c>
      <c r="K9" s="12">
        <f>H9+180</f>
        <v>42550</v>
      </c>
      <c r="L9" s="365">
        <v>20000000</v>
      </c>
      <c r="M9" s="28">
        <f>J9-L9</f>
        <v>0</v>
      </c>
      <c r="N9" s="12">
        <v>42556</v>
      </c>
      <c r="O9" s="207"/>
    </row>
    <row r="10" spans="1:20" s="538" customFormat="1">
      <c r="A10" s="14">
        <v>4534</v>
      </c>
      <c r="B10" s="14" t="s">
        <v>86</v>
      </c>
      <c r="C10" s="45" t="s">
        <v>283</v>
      </c>
      <c r="D10" s="250" t="s">
        <v>284</v>
      </c>
      <c r="E10" s="250" t="s">
        <v>213</v>
      </c>
      <c r="F10" s="335">
        <v>50000000</v>
      </c>
      <c r="G10" s="335">
        <v>50000000</v>
      </c>
      <c r="H10" s="12">
        <v>42370</v>
      </c>
      <c r="I10" s="12">
        <f t="shared" si="0"/>
        <v>42405</v>
      </c>
      <c r="J10" s="365">
        <v>50000000</v>
      </c>
      <c r="K10" s="12">
        <f>H10+150</f>
        <v>42520</v>
      </c>
      <c r="L10" s="335">
        <v>38500000</v>
      </c>
      <c r="M10" s="335">
        <f>J10-L10</f>
        <v>11500000</v>
      </c>
      <c r="N10" s="12">
        <v>42515</v>
      </c>
      <c r="O10" s="539"/>
    </row>
    <row r="11" spans="1:20" s="14" customFormat="1">
      <c r="A11" s="14">
        <v>4537</v>
      </c>
      <c r="B11" s="14" t="s">
        <v>360</v>
      </c>
      <c r="C11" s="45" t="s">
        <v>281</v>
      </c>
      <c r="D11" s="250" t="s">
        <v>233</v>
      </c>
      <c r="E11" s="250" t="s">
        <v>85</v>
      </c>
      <c r="F11" s="335">
        <v>44000000</v>
      </c>
      <c r="G11" s="335">
        <v>44000000</v>
      </c>
      <c r="H11" s="12">
        <v>42370</v>
      </c>
      <c r="I11" s="12">
        <f t="shared" si="0"/>
        <v>42405</v>
      </c>
      <c r="J11" s="365">
        <v>0</v>
      </c>
      <c r="K11" s="12">
        <f>H11+180</f>
        <v>42550</v>
      </c>
      <c r="L11" s="28">
        <v>0</v>
      </c>
      <c r="M11" s="335">
        <f t="shared" ref="M11:M17" si="1">G11-L11</f>
        <v>44000000</v>
      </c>
      <c r="N11" s="12">
        <v>42371</v>
      </c>
      <c r="O11" s="207"/>
    </row>
    <row r="12" spans="1:20" s="538" customFormat="1">
      <c r="A12" s="14">
        <v>4538</v>
      </c>
      <c r="B12" s="14" t="s">
        <v>86</v>
      </c>
      <c r="C12" s="45" t="s">
        <v>273</v>
      </c>
      <c r="D12" s="250" t="s">
        <v>289</v>
      </c>
      <c r="E12" s="250" t="s">
        <v>192</v>
      </c>
      <c r="F12" s="335">
        <v>100000000</v>
      </c>
      <c r="G12" s="335">
        <v>100000000</v>
      </c>
      <c r="H12" s="12">
        <v>42370</v>
      </c>
      <c r="I12" s="12">
        <f t="shared" si="0"/>
        <v>42405</v>
      </c>
      <c r="J12" s="365">
        <v>33500000</v>
      </c>
      <c r="K12" s="12">
        <f>H12+210</f>
        <v>42580</v>
      </c>
      <c r="L12" s="28">
        <v>3467072.4</v>
      </c>
      <c r="M12" s="28">
        <f t="shared" si="1"/>
        <v>96532927.599999994</v>
      </c>
      <c r="N12" s="264">
        <v>42434</v>
      </c>
      <c r="O12" s="540"/>
    </row>
    <row r="13" spans="1:20" s="14" customFormat="1">
      <c r="A13" s="14">
        <v>4540</v>
      </c>
      <c r="B13" s="14" t="s">
        <v>360</v>
      </c>
      <c r="C13" s="45" t="s">
        <v>294</v>
      </c>
      <c r="D13" s="250" t="s">
        <v>295</v>
      </c>
      <c r="E13" s="250" t="s">
        <v>296</v>
      </c>
      <c r="F13" s="335">
        <v>15000000</v>
      </c>
      <c r="G13" s="335">
        <v>15000000</v>
      </c>
      <c r="H13" s="12">
        <v>42371</v>
      </c>
      <c r="I13" s="12">
        <f t="shared" si="0"/>
        <v>42406</v>
      </c>
      <c r="J13" s="335">
        <v>15000000</v>
      </c>
      <c r="K13" s="12">
        <f>H13+180</f>
        <v>42551</v>
      </c>
      <c r="L13" s="28">
        <v>0</v>
      </c>
      <c r="M13" s="28">
        <f t="shared" si="1"/>
        <v>15000000</v>
      </c>
      <c r="N13" s="264">
        <v>42469</v>
      </c>
      <c r="O13" s="264"/>
    </row>
    <row r="14" spans="1:20" s="14" customFormat="1" ht="12.75" customHeight="1">
      <c r="A14" s="14">
        <v>4543</v>
      </c>
      <c r="B14" s="14" t="s">
        <v>86</v>
      </c>
      <c r="C14" s="45" t="s">
        <v>281</v>
      </c>
      <c r="D14" s="250" t="s">
        <v>301</v>
      </c>
      <c r="E14" s="250" t="s">
        <v>85</v>
      </c>
      <c r="F14" s="335">
        <v>23000000</v>
      </c>
      <c r="G14" s="335">
        <v>23000000</v>
      </c>
      <c r="H14" s="12">
        <v>42371</v>
      </c>
      <c r="I14" s="12">
        <f t="shared" si="0"/>
        <v>42406</v>
      </c>
      <c r="J14" s="365">
        <v>23000000</v>
      </c>
      <c r="K14" s="12">
        <f>H14+180</f>
        <v>42551</v>
      </c>
      <c r="L14" s="335">
        <v>23000000</v>
      </c>
      <c r="M14" s="28">
        <f t="shared" si="1"/>
        <v>0</v>
      </c>
      <c r="N14" s="12">
        <v>42557</v>
      </c>
      <c r="O14" s="207"/>
    </row>
    <row r="15" spans="1:20" s="14" customFormat="1">
      <c r="A15" s="14">
        <v>4544</v>
      </c>
      <c r="B15" s="14" t="s">
        <v>395</v>
      </c>
      <c r="C15" s="45" t="s">
        <v>303</v>
      </c>
      <c r="D15" s="250" t="s">
        <v>304</v>
      </c>
      <c r="E15" s="250" t="s">
        <v>82</v>
      </c>
      <c r="F15" s="335">
        <v>100000000</v>
      </c>
      <c r="G15" s="335">
        <v>100000000</v>
      </c>
      <c r="H15" s="12">
        <v>42371</v>
      </c>
      <c r="I15" s="12">
        <f t="shared" si="0"/>
        <v>42406</v>
      </c>
      <c r="J15" s="335">
        <v>100000000</v>
      </c>
      <c r="K15" s="12">
        <f>H15+150</f>
        <v>42521</v>
      </c>
      <c r="L15" s="28">
        <v>0</v>
      </c>
      <c r="M15" s="28">
        <f t="shared" si="1"/>
        <v>100000000</v>
      </c>
      <c r="N15" s="12">
        <v>42521</v>
      </c>
      <c r="O15" s="207"/>
    </row>
    <row r="16" spans="1:20" s="14" customFormat="1">
      <c r="A16" s="14">
        <v>4545</v>
      </c>
      <c r="B16" s="14" t="s">
        <v>86</v>
      </c>
      <c r="C16" s="45" t="s">
        <v>281</v>
      </c>
      <c r="D16" s="250" t="s">
        <v>248</v>
      </c>
      <c r="E16" s="250" t="s">
        <v>85</v>
      </c>
      <c r="F16" s="335">
        <v>38000000</v>
      </c>
      <c r="G16" s="335">
        <v>38000000</v>
      </c>
      <c r="H16" s="12">
        <v>42371</v>
      </c>
      <c r="I16" s="12">
        <f t="shared" si="0"/>
        <v>42406</v>
      </c>
      <c r="J16" s="365">
        <v>38000000</v>
      </c>
      <c r="K16" s="12">
        <f>H16+180</f>
        <v>42551</v>
      </c>
      <c r="L16" s="365">
        <v>0</v>
      </c>
      <c r="M16" s="28">
        <f t="shared" si="1"/>
        <v>38000000</v>
      </c>
      <c r="N16" s="12">
        <v>42536</v>
      </c>
      <c r="O16" s="207" t="s">
        <v>477</v>
      </c>
    </row>
    <row r="17" spans="1:20" s="14" customFormat="1">
      <c r="A17" s="14">
        <v>4546</v>
      </c>
      <c r="B17" s="14" t="s">
        <v>86</v>
      </c>
      <c r="C17" s="45" t="s">
        <v>305</v>
      </c>
      <c r="D17" s="250" t="s">
        <v>306</v>
      </c>
      <c r="E17" s="250" t="s">
        <v>83</v>
      </c>
      <c r="F17" s="335">
        <v>20000000</v>
      </c>
      <c r="G17" s="335">
        <v>20000000</v>
      </c>
      <c r="H17" s="12">
        <v>42371</v>
      </c>
      <c r="I17" s="12">
        <f t="shared" ref="I17:I27" si="2">H17+35</f>
        <v>42406</v>
      </c>
      <c r="J17" s="365">
        <v>20000000</v>
      </c>
      <c r="K17" s="12">
        <f>H17+180</f>
        <v>42551</v>
      </c>
      <c r="L17" s="28">
        <v>1250000</v>
      </c>
      <c r="M17" s="28">
        <f t="shared" si="1"/>
        <v>18750000</v>
      </c>
      <c r="N17" s="12">
        <v>42551</v>
      </c>
      <c r="O17" s="207" t="s">
        <v>357</v>
      </c>
    </row>
    <row r="18" spans="1:20" s="538" customFormat="1">
      <c r="A18" s="14">
        <v>4547</v>
      </c>
      <c r="B18" s="14" t="s">
        <v>86</v>
      </c>
      <c r="C18" s="45" t="s">
        <v>303</v>
      </c>
      <c r="D18" s="250" t="s">
        <v>307</v>
      </c>
      <c r="E18" s="250" t="s">
        <v>234</v>
      </c>
      <c r="F18" s="335">
        <v>86000000</v>
      </c>
      <c r="G18" s="335">
        <v>86000000</v>
      </c>
      <c r="H18" s="12">
        <v>42371</v>
      </c>
      <c r="I18" s="12">
        <f t="shared" si="2"/>
        <v>42406</v>
      </c>
      <c r="J18" s="335">
        <v>86000000</v>
      </c>
      <c r="K18" s="12">
        <f>H18+150</f>
        <v>42521</v>
      </c>
      <c r="L18" s="28">
        <v>16370000</v>
      </c>
      <c r="M18" s="28">
        <f t="shared" ref="M18:M26" si="3">G18-L18</f>
        <v>69630000</v>
      </c>
      <c r="N18" s="12">
        <v>42521</v>
      </c>
      <c r="O18" s="539"/>
    </row>
    <row r="19" spans="1:20" s="538" customFormat="1">
      <c r="A19" s="14">
        <v>4549</v>
      </c>
      <c r="B19" s="14" t="s">
        <v>86</v>
      </c>
      <c r="C19" s="45" t="s">
        <v>303</v>
      </c>
      <c r="D19" s="250" t="s">
        <v>309</v>
      </c>
      <c r="E19" s="250" t="s">
        <v>234</v>
      </c>
      <c r="F19" s="335">
        <v>58000000</v>
      </c>
      <c r="G19" s="335">
        <v>58000000</v>
      </c>
      <c r="H19" s="12">
        <v>42371</v>
      </c>
      <c r="I19" s="12">
        <f t="shared" si="2"/>
        <v>42406</v>
      </c>
      <c r="J19" s="335">
        <v>58000000</v>
      </c>
      <c r="K19" s="12">
        <f>H19+150</f>
        <v>42521</v>
      </c>
      <c r="L19" s="335">
        <v>0</v>
      </c>
      <c r="M19" s="28">
        <f t="shared" si="3"/>
        <v>58000000</v>
      </c>
      <c r="N19" s="12">
        <v>42521</v>
      </c>
      <c r="O19" s="539"/>
    </row>
    <row r="20" spans="1:20" s="14" customFormat="1">
      <c r="A20" s="14">
        <v>4550</v>
      </c>
      <c r="B20" s="14" t="s">
        <v>360</v>
      </c>
      <c r="C20" s="45" t="s">
        <v>303</v>
      </c>
      <c r="D20" s="250" t="s">
        <v>310</v>
      </c>
      <c r="E20" s="250" t="s">
        <v>84</v>
      </c>
      <c r="F20" s="335">
        <v>100000000</v>
      </c>
      <c r="G20" s="335">
        <v>100000000</v>
      </c>
      <c r="H20" s="12">
        <v>42374</v>
      </c>
      <c r="I20" s="12">
        <f t="shared" si="2"/>
        <v>42409</v>
      </c>
      <c r="J20" s="335">
        <v>100000000</v>
      </c>
      <c r="K20" s="12">
        <f>H20+150</f>
        <v>42524</v>
      </c>
      <c r="L20" s="365">
        <v>0</v>
      </c>
      <c r="M20" s="28">
        <f t="shared" si="3"/>
        <v>100000000</v>
      </c>
      <c r="N20" s="481">
        <v>42510</v>
      </c>
      <c r="O20" s="207"/>
    </row>
    <row r="21" spans="1:20" s="14" customFormat="1">
      <c r="A21" s="14">
        <v>4551</v>
      </c>
      <c r="B21" s="14" t="s">
        <v>360</v>
      </c>
      <c r="C21" s="45" t="s">
        <v>281</v>
      </c>
      <c r="D21" s="45" t="s">
        <v>311</v>
      </c>
      <c r="E21" s="45" t="s">
        <v>85</v>
      </c>
      <c r="F21" s="335">
        <v>28000000</v>
      </c>
      <c r="G21" s="335">
        <v>28000000</v>
      </c>
      <c r="H21" s="12">
        <v>42374</v>
      </c>
      <c r="I21" s="12">
        <f t="shared" si="2"/>
        <v>42409</v>
      </c>
      <c r="J21" s="365">
        <v>28000000</v>
      </c>
      <c r="K21" s="12">
        <f>H21+180</f>
        <v>42554</v>
      </c>
      <c r="L21" s="365">
        <v>0</v>
      </c>
      <c r="M21" s="28">
        <f t="shared" si="3"/>
        <v>28000000</v>
      </c>
      <c r="N21" s="12">
        <v>42418</v>
      </c>
      <c r="O21" s="207"/>
    </row>
    <row r="22" spans="1:20" s="14" customFormat="1">
      <c r="A22" s="14">
        <v>4553</v>
      </c>
      <c r="B22" s="14" t="s">
        <v>360</v>
      </c>
      <c r="C22" s="45" t="s">
        <v>313</v>
      </c>
      <c r="D22" s="45" t="s">
        <v>314</v>
      </c>
      <c r="E22" s="45" t="s">
        <v>269</v>
      </c>
      <c r="F22" s="335">
        <v>100000000</v>
      </c>
      <c r="G22" s="335">
        <v>100000000</v>
      </c>
      <c r="H22" s="12">
        <v>42374</v>
      </c>
      <c r="I22" s="12">
        <f t="shared" si="2"/>
        <v>42409</v>
      </c>
      <c r="J22" s="335"/>
      <c r="K22" s="12">
        <f>H22+150</f>
        <v>42524</v>
      </c>
      <c r="L22" s="365">
        <v>0</v>
      </c>
      <c r="M22" s="28">
        <f t="shared" si="3"/>
        <v>100000000</v>
      </c>
      <c r="N22" s="12">
        <v>42397</v>
      </c>
      <c r="O22" s="207"/>
    </row>
    <row r="23" spans="1:20" s="14" customFormat="1">
      <c r="A23" s="14">
        <v>4555</v>
      </c>
      <c r="B23" s="14" t="s">
        <v>360</v>
      </c>
      <c r="C23" s="45" t="s">
        <v>318</v>
      </c>
      <c r="D23" s="45" t="s">
        <v>319</v>
      </c>
      <c r="E23" s="45" t="s">
        <v>211</v>
      </c>
      <c r="F23" s="335">
        <v>25000000</v>
      </c>
      <c r="G23" s="335">
        <v>25000000</v>
      </c>
      <c r="H23" s="12">
        <v>42374</v>
      </c>
      <c r="I23" s="12">
        <f t="shared" si="2"/>
        <v>42409</v>
      </c>
      <c r="J23" s="365">
        <v>25000000</v>
      </c>
      <c r="K23" s="12">
        <f>H23+180</f>
        <v>42554</v>
      </c>
      <c r="L23" s="365">
        <v>0</v>
      </c>
      <c r="M23" s="28">
        <f t="shared" si="3"/>
        <v>25000000</v>
      </c>
      <c r="N23" s="12">
        <v>42529</v>
      </c>
      <c r="O23" s="207"/>
    </row>
    <row r="24" spans="1:20" s="14" customFormat="1">
      <c r="A24" s="14">
        <v>4556</v>
      </c>
      <c r="B24" s="14" t="s">
        <v>360</v>
      </c>
      <c r="C24" s="45" t="s">
        <v>320</v>
      </c>
      <c r="D24" s="45" t="s">
        <v>250</v>
      </c>
      <c r="E24" s="45" t="s">
        <v>84</v>
      </c>
      <c r="F24" s="335">
        <v>48000000</v>
      </c>
      <c r="G24" s="335">
        <v>48000000</v>
      </c>
      <c r="H24" s="12">
        <v>42375</v>
      </c>
      <c r="I24" s="12">
        <f t="shared" si="2"/>
        <v>42410</v>
      </c>
      <c r="J24" s="365"/>
      <c r="K24" s="12">
        <f>H24+180</f>
        <v>42555</v>
      </c>
      <c r="L24" s="365">
        <v>0</v>
      </c>
      <c r="M24" s="335">
        <f t="shared" si="3"/>
        <v>48000000</v>
      </c>
      <c r="N24" s="12"/>
      <c r="O24" s="207"/>
    </row>
    <row r="25" spans="1:20" s="14" customFormat="1">
      <c r="A25" s="14">
        <v>4557</v>
      </c>
      <c r="B25" s="14" t="s">
        <v>360</v>
      </c>
      <c r="C25" s="45" t="s">
        <v>348</v>
      </c>
      <c r="D25" s="45" t="s">
        <v>321</v>
      </c>
      <c r="E25" s="45" t="s">
        <v>164</v>
      </c>
      <c r="F25" s="335">
        <v>30000000</v>
      </c>
      <c r="G25" s="335">
        <v>30000000</v>
      </c>
      <c r="H25" s="12">
        <v>42381</v>
      </c>
      <c r="I25" s="12">
        <f t="shared" si="2"/>
        <v>42416</v>
      </c>
      <c r="J25" s="365">
        <v>30000000</v>
      </c>
      <c r="K25" s="12">
        <f>H25+180</f>
        <v>42561</v>
      </c>
      <c r="L25" s="365">
        <v>0</v>
      </c>
      <c r="M25" s="335">
        <f t="shared" si="3"/>
        <v>30000000</v>
      </c>
      <c r="N25" s="12">
        <v>42559</v>
      </c>
      <c r="O25" s="207"/>
    </row>
    <row r="26" spans="1:20" s="14" customFormat="1">
      <c r="A26" s="14">
        <v>4558</v>
      </c>
      <c r="B26" s="14" t="s">
        <v>86</v>
      </c>
      <c r="C26" s="45" t="s">
        <v>320</v>
      </c>
      <c r="D26" s="250" t="s">
        <v>268</v>
      </c>
      <c r="E26" s="250" t="s">
        <v>84</v>
      </c>
      <c r="F26" s="335">
        <v>30000000</v>
      </c>
      <c r="G26" s="335">
        <v>30000000</v>
      </c>
      <c r="H26" s="12">
        <v>42381</v>
      </c>
      <c r="I26" s="12">
        <f t="shared" si="2"/>
        <v>42416</v>
      </c>
      <c r="J26" s="365">
        <v>30000000</v>
      </c>
      <c r="K26" s="12">
        <f>H26+180</f>
        <v>42561</v>
      </c>
      <c r="L26" s="28">
        <v>30000000</v>
      </c>
      <c r="M26" s="335">
        <f t="shared" si="3"/>
        <v>0</v>
      </c>
      <c r="N26" s="12">
        <v>42557</v>
      </c>
      <c r="O26" s="207"/>
    </row>
    <row r="27" spans="1:20" s="14" customFormat="1">
      <c r="A27" s="14">
        <v>4568</v>
      </c>
      <c r="B27" s="14" t="s">
        <v>360</v>
      </c>
      <c r="C27" s="45" t="s">
        <v>375</v>
      </c>
      <c r="D27" s="250" t="s">
        <v>349</v>
      </c>
      <c r="E27" s="250" t="s">
        <v>350</v>
      </c>
      <c r="F27" s="335">
        <v>25000000</v>
      </c>
      <c r="G27" s="335">
        <v>25000000</v>
      </c>
      <c r="H27" s="12">
        <v>42399</v>
      </c>
      <c r="I27" s="12">
        <f t="shared" si="2"/>
        <v>42434</v>
      </c>
      <c r="J27" s="335">
        <v>25000000</v>
      </c>
      <c r="K27" s="12">
        <f>H27+180</f>
        <v>42579</v>
      </c>
      <c r="L27" s="365">
        <v>0</v>
      </c>
      <c r="M27" s="28">
        <f>G27-L27</f>
        <v>25000000</v>
      </c>
      <c r="N27" s="12">
        <v>42447</v>
      </c>
      <c r="O27" s="207"/>
    </row>
    <row r="28" spans="1:20" s="5" customFormat="1">
      <c r="A28" s="14" t="s">
        <v>351</v>
      </c>
      <c r="B28" s="14" t="s">
        <v>360</v>
      </c>
      <c r="C28" s="45" t="s">
        <v>352</v>
      </c>
      <c r="D28" s="250" t="s">
        <v>353</v>
      </c>
      <c r="E28" s="250" t="s">
        <v>258</v>
      </c>
      <c r="F28" s="335">
        <v>0</v>
      </c>
      <c r="G28" s="335">
        <v>0</v>
      </c>
      <c r="H28" s="7"/>
      <c r="I28" s="7"/>
      <c r="J28" s="457"/>
      <c r="K28" s="7"/>
      <c r="L28" s="33"/>
      <c r="M28" s="33"/>
      <c r="N28" s="7"/>
      <c r="O28" s="207"/>
      <c r="P28" s="14"/>
      <c r="Q28" s="14"/>
      <c r="R28" s="14"/>
      <c r="S28" s="14"/>
      <c r="T28" s="14"/>
    </row>
    <row r="29" spans="1:20" s="5" customFormat="1">
      <c r="A29" s="14" t="s">
        <v>354</v>
      </c>
      <c r="B29" s="14" t="s">
        <v>360</v>
      </c>
      <c r="C29" s="45" t="s">
        <v>352</v>
      </c>
      <c r="D29" s="250" t="s">
        <v>355</v>
      </c>
      <c r="E29" s="250" t="s">
        <v>258</v>
      </c>
      <c r="F29" s="335">
        <v>0</v>
      </c>
      <c r="G29" s="335">
        <v>0</v>
      </c>
      <c r="H29" s="7"/>
      <c r="I29" s="7"/>
      <c r="J29" s="457"/>
      <c r="K29" s="7"/>
      <c r="L29" s="33"/>
      <c r="M29" s="33"/>
      <c r="N29" s="7"/>
      <c r="O29" s="207"/>
      <c r="P29" s="14"/>
      <c r="Q29" s="14"/>
      <c r="R29" s="14"/>
      <c r="S29" s="14"/>
      <c r="T29" s="14"/>
    </row>
    <row r="30" spans="1:20" s="14" customFormat="1">
      <c r="A30" s="14">
        <v>4563</v>
      </c>
      <c r="B30" s="14" t="s">
        <v>360</v>
      </c>
      <c r="C30" s="1" t="s">
        <v>219</v>
      </c>
      <c r="D30" s="1" t="s">
        <v>239</v>
      </c>
      <c r="E30" s="1" t="s">
        <v>83</v>
      </c>
      <c r="F30" s="305">
        <v>15000000</v>
      </c>
      <c r="G30" s="305">
        <v>15000000</v>
      </c>
      <c r="H30" s="12">
        <v>42382</v>
      </c>
      <c r="I30" s="12">
        <f>H30+35</f>
        <v>42417</v>
      </c>
      <c r="J30" s="365">
        <v>15000000</v>
      </c>
      <c r="K30" s="12">
        <f>H30+180</f>
        <v>42562</v>
      </c>
      <c r="L30" s="28">
        <v>0</v>
      </c>
      <c r="M30" s="28">
        <f t="shared" ref="M30:M37" si="4">G30-L30</f>
        <v>15000000</v>
      </c>
      <c r="N30" s="12">
        <v>42530</v>
      </c>
      <c r="O30" s="207"/>
    </row>
    <row r="31" spans="1:20" s="14" customFormat="1">
      <c r="A31" s="14">
        <v>4574</v>
      </c>
      <c r="B31" s="14" t="s">
        <v>360</v>
      </c>
      <c r="C31" s="1" t="s">
        <v>365</v>
      </c>
      <c r="D31" s="1" t="s">
        <v>389</v>
      </c>
      <c r="E31" s="1" t="s">
        <v>366</v>
      </c>
      <c r="F31" s="305">
        <v>100000000</v>
      </c>
      <c r="G31" s="305">
        <v>100000000</v>
      </c>
      <c r="H31" s="12">
        <v>42410</v>
      </c>
      <c r="I31" s="12">
        <f>H31+35</f>
        <v>42445</v>
      </c>
      <c r="J31" s="305">
        <v>100000000</v>
      </c>
      <c r="K31" s="12">
        <f>H31+150</f>
        <v>42560</v>
      </c>
      <c r="L31" s="28">
        <v>0</v>
      </c>
      <c r="M31" s="28">
        <f t="shared" si="4"/>
        <v>100000000</v>
      </c>
      <c r="N31" s="12">
        <v>42531</v>
      </c>
      <c r="O31" s="207"/>
    </row>
    <row r="32" spans="1:20" s="538" customFormat="1">
      <c r="A32" s="14">
        <v>4575</v>
      </c>
      <c r="B32" s="14" t="s">
        <v>86</v>
      </c>
      <c r="C32" s="1" t="s">
        <v>209</v>
      </c>
      <c r="D32" s="1" t="s">
        <v>482</v>
      </c>
      <c r="E32" s="1" t="s">
        <v>192</v>
      </c>
      <c r="F32" s="305">
        <v>65000000</v>
      </c>
      <c r="G32" s="305">
        <v>65000000</v>
      </c>
      <c r="H32" s="12">
        <v>42410</v>
      </c>
      <c r="I32" s="12">
        <f>H32+35</f>
        <v>42445</v>
      </c>
      <c r="J32" s="365">
        <v>65000000</v>
      </c>
      <c r="K32" s="12">
        <f>H32+150</f>
        <v>42560</v>
      </c>
      <c r="L32" s="542">
        <v>59791575.399999999</v>
      </c>
      <c r="M32" s="49">
        <f t="shared" si="4"/>
        <v>5208424.6000000015</v>
      </c>
      <c r="N32" s="12">
        <v>42556</v>
      </c>
      <c r="O32" s="539"/>
    </row>
    <row r="33" spans="1:15" s="14" customFormat="1">
      <c r="A33" s="14">
        <v>4567</v>
      </c>
      <c r="B33" s="14" t="s">
        <v>360</v>
      </c>
      <c r="C33" s="1" t="s">
        <v>281</v>
      </c>
      <c r="D33" s="364" t="s">
        <v>265</v>
      </c>
      <c r="E33" s="1" t="s">
        <v>85</v>
      </c>
      <c r="F33" s="305">
        <v>50000000</v>
      </c>
      <c r="G33" s="305">
        <v>50000000</v>
      </c>
      <c r="H33" s="12">
        <v>42392</v>
      </c>
      <c r="I33" s="12">
        <f>H33+35</f>
        <v>42427</v>
      </c>
      <c r="J33" s="305">
        <v>50000000</v>
      </c>
      <c r="K33" s="12">
        <f>H33+180</f>
        <v>42572</v>
      </c>
      <c r="L33" s="49">
        <v>0</v>
      </c>
      <c r="M33" s="28">
        <f t="shared" si="4"/>
        <v>50000000</v>
      </c>
      <c r="N33" s="12"/>
      <c r="O33" s="207"/>
    </row>
    <row r="34" spans="1:15" s="14" customFormat="1">
      <c r="A34" s="14" t="s">
        <v>371</v>
      </c>
      <c r="B34" s="14" t="s">
        <v>360</v>
      </c>
      <c r="C34" s="1" t="s">
        <v>107</v>
      </c>
      <c r="D34" s="364" t="s">
        <v>372</v>
      </c>
      <c r="E34" s="1" t="s">
        <v>84</v>
      </c>
      <c r="F34" s="305">
        <v>0</v>
      </c>
      <c r="G34" s="305">
        <v>0</v>
      </c>
      <c r="H34" s="12"/>
      <c r="I34" s="12"/>
      <c r="J34" s="28"/>
      <c r="K34" s="12"/>
      <c r="L34" s="49"/>
      <c r="M34" s="28">
        <f t="shared" si="4"/>
        <v>0</v>
      </c>
      <c r="N34" s="12"/>
      <c r="O34" s="207"/>
    </row>
    <row r="35" spans="1:15" s="14" customFormat="1">
      <c r="A35" s="14" t="s">
        <v>373</v>
      </c>
      <c r="B35" s="14" t="s">
        <v>360</v>
      </c>
      <c r="C35" s="1" t="s">
        <v>107</v>
      </c>
      <c r="D35" s="364" t="s">
        <v>374</v>
      </c>
      <c r="E35" s="1" t="s">
        <v>84</v>
      </c>
      <c r="F35" s="305">
        <v>0</v>
      </c>
      <c r="G35" s="305">
        <v>0</v>
      </c>
      <c r="H35" s="12"/>
      <c r="I35" s="12"/>
      <c r="J35" s="28"/>
      <c r="K35" s="12"/>
      <c r="L35" s="28"/>
      <c r="M35" s="28">
        <f t="shared" si="4"/>
        <v>0</v>
      </c>
      <c r="N35" s="12"/>
      <c r="O35" s="207"/>
    </row>
    <row r="36" spans="1:15" s="14" customFormat="1">
      <c r="A36" s="14">
        <v>4569</v>
      </c>
      <c r="B36" s="14" t="s">
        <v>86</v>
      </c>
      <c r="C36" s="250" t="s">
        <v>219</v>
      </c>
      <c r="D36" s="250" t="s">
        <v>255</v>
      </c>
      <c r="E36" s="1" t="s">
        <v>256</v>
      </c>
      <c r="F36" s="305">
        <v>34000000</v>
      </c>
      <c r="G36" s="305">
        <v>34000000</v>
      </c>
      <c r="H36" s="12">
        <v>42404</v>
      </c>
      <c r="I36" s="12">
        <f t="shared" ref="I36:I54" si="5">H36+35</f>
        <v>42439</v>
      </c>
      <c r="J36" s="305">
        <v>34000000</v>
      </c>
      <c r="K36" s="12">
        <f t="shared" ref="K36:K53" si="6">H36+180</f>
        <v>42584</v>
      </c>
      <c r="L36" s="28">
        <v>0</v>
      </c>
      <c r="M36" s="28">
        <f t="shared" si="4"/>
        <v>34000000</v>
      </c>
      <c r="N36" s="12">
        <v>42430</v>
      </c>
      <c r="O36" s="207" t="s">
        <v>357</v>
      </c>
    </row>
    <row r="37" spans="1:15" s="14" customFormat="1">
      <c r="A37" s="14">
        <v>4579</v>
      </c>
      <c r="B37" s="14" t="s">
        <v>86</v>
      </c>
      <c r="C37" s="250" t="s">
        <v>219</v>
      </c>
      <c r="D37" s="250" t="s">
        <v>376</v>
      </c>
      <c r="E37" s="1" t="s">
        <v>83</v>
      </c>
      <c r="F37" s="305">
        <v>30000000</v>
      </c>
      <c r="G37" s="305">
        <v>30000000</v>
      </c>
      <c r="H37" s="12">
        <v>42419</v>
      </c>
      <c r="I37" s="12">
        <f t="shared" si="5"/>
        <v>42454</v>
      </c>
      <c r="J37" s="365">
        <v>30000000</v>
      </c>
      <c r="K37" s="12">
        <f t="shared" si="6"/>
        <v>42599</v>
      </c>
      <c r="L37" s="28">
        <v>26000000</v>
      </c>
      <c r="M37" s="28">
        <f t="shared" si="4"/>
        <v>4000000</v>
      </c>
      <c r="N37" s="12">
        <v>42594</v>
      </c>
      <c r="O37" s="207"/>
    </row>
    <row r="38" spans="1:15" s="14" customFormat="1">
      <c r="A38" s="14">
        <v>4580</v>
      </c>
      <c r="B38" s="14" t="s">
        <v>86</v>
      </c>
      <c r="C38" s="1" t="s">
        <v>107</v>
      </c>
      <c r="D38" s="364" t="s">
        <v>374</v>
      </c>
      <c r="E38" s="1" t="s">
        <v>84</v>
      </c>
      <c r="F38" s="305">
        <v>20000000</v>
      </c>
      <c r="G38" s="305">
        <v>20000000</v>
      </c>
      <c r="H38" s="12">
        <v>42419</v>
      </c>
      <c r="I38" s="12">
        <f t="shared" si="5"/>
        <v>42454</v>
      </c>
      <c r="J38" s="305">
        <v>20000000</v>
      </c>
      <c r="K38" s="12">
        <f t="shared" si="6"/>
        <v>42599</v>
      </c>
      <c r="L38" s="305">
        <v>20000000</v>
      </c>
      <c r="M38" s="28">
        <f t="shared" ref="M38:M44" si="7">G38-L38</f>
        <v>0</v>
      </c>
      <c r="N38" s="12">
        <v>42588</v>
      </c>
      <c r="O38" s="207"/>
    </row>
    <row r="39" spans="1:15" s="14" customFormat="1">
      <c r="A39" s="14">
        <v>4596</v>
      </c>
      <c r="B39" s="14" t="s">
        <v>360</v>
      </c>
      <c r="C39" s="1" t="s">
        <v>107</v>
      </c>
      <c r="D39" s="364" t="s">
        <v>372</v>
      </c>
      <c r="E39" s="1" t="s">
        <v>84</v>
      </c>
      <c r="F39" s="305">
        <v>30000000</v>
      </c>
      <c r="G39" s="305">
        <v>30000000</v>
      </c>
      <c r="H39" s="12">
        <v>42447</v>
      </c>
      <c r="I39" s="12">
        <f t="shared" si="5"/>
        <v>42482</v>
      </c>
      <c r="J39" s="305">
        <v>30000000</v>
      </c>
      <c r="K39" s="12">
        <f t="shared" si="6"/>
        <v>42627</v>
      </c>
      <c r="L39" s="28">
        <v>0</v>
      </c>
      <c r="M39" s="28">
        <f t="shared" si="7"/>
        <v>30000000</v>
      </c>
      <c r="N39" s="12">
        <v>42552</v>
      </c>
      <c r="O39" s="207"/>
    </row>
    <row r="40" spans="1:15" s="14" customFormat="1">
      <c r="A40" s="14">
        <v>4576</v>
      </c>
      <c r="B40" s="14" t="s">
        <v>360</v>
      </c>
      <c r="C40" s="1" t="s">
        <v>385</v>
      </c>
      <c r="D40" s="364" t="s">
        <v>203</v>
      </c>
      <c r="E40" s="1" t="s">
        <v>88</v>
      </c>
      <c r="F40" s="305">
        <v>30000000</v>
      </c>
      <c r="G40" s="305">
        <v>30000000</v>
      </c>
      <c r="H40" s="12">
        <v>42410</v>
      </c>
      <c r="I40" s="12">
        <f t="shared" si="5"/>
        <v>42445</v>
      </c>
      <c r="J40" s="305">
        <v>30000000</v>
      </c>
      <c r="K40" s="12">
        <f t="shared" si="6"/>
        <v>42590</v>
      </c>
      <c r="L40" s="49">
        <v>0</v>
      </c>
      <c r="M40" s="28">
        <f t="shared" si="7"/>
        <v>30000000</v>
      </c>
      <c r="N40" s="12">
        <v>42559</v>
      </c>
      <c r="O40" s="207"/>
    </row>
    <row r="41" spans="1:15" s="14" customFormat="1">
      <c r="A41" s="14">
        <v>4605</v>
      </c>
      <c r="B41" s="14" t="s">
        <v>86</v>
      </c>
      <c r="C41" s="45" t="s">
        <v>281</v>
      </c>
      <c r="D41" s="45" t="s">
        <v>311</v>
      </c>
      <c r="E41" s="45" t="s">
        <v>85</v>
      </c>
      <c r="F41" s="335">
        <v>28000000</v>
      </c>
      <c r="G41" s="335">
        <v>28000000</v>
      </c>
      <c r="H41" s="12">
        <v>42480</v>
      </c>
      <c r="I41" s="12">
        <f t="shared" si="5"/>
        <v>42515</v>
      </c>
      <c r="J41" s="335">
        <v>28000000</v>
      </c>
      <c r="K41" s="12">
        <f t="shared" si="6"/>
        <v>42660</v>
      </c>
      <c r="L41" s="28">
        <v>23500000</v>
      </c>
      <c r="M41" s="28">
        <f t="shared" si="7"/>
        <v>4500000</v>
      </c>
      <c r="N41" s="12">
        <v>42656</v>
      </c>
      <c r="O41" s="207"/>
    </row>
    <row r="42" spans="1:15" s="14" customFormat="1">
      <c r="A42" s="14">
        <v>4613</v>
      </c>
      <c r="B42" s="14" t="s">
        <v>360</v>
      </c>
      <c r="C42" s="45" t="s">
        <v>397</v>
      </c>
      <c r="D42" s="45" t="s">
        <v>396</v>
      </c>
      <c r="E42" s="45" t="s">
        <v>151</v>
      </c>
      <c r="F42" s="335">
        <v>26000000</v>
      </c>
      <c r="G42" s="335">
        <v>26000000</v>
      </c>
      <c r="H42" s="12">
        <v>42516</v>
      </c>
      <c r="I42" s="12">
        <f t="shared" si="5"/>
        <v>42551</v>
      </c>
      <c r="J42" s="335">
        <v>26000000</v>
      </c>
      <c r="K42" s="12">
        <f t="shared" si="6"/>
        <v>42696</v>
      </c>
      <c r="L42" s="365">
        <v>0</v>
      </c>
      <c r="M42" s="28">
        <f t="shared" si="7"/>
        <v>26000000</v>
      </c>
      <c r="N42" s="12">
        <v>42657</v>
      </c>
      <c r="O42" s="207"/>
    </row>
    <row r="43" spans="1:15" s="14" customFormat="1">
      <c r="A43" s="14">
        <v>4593</v>
      </c>
      <c r="B43" s="14" t="s">
        <v>360</v>
      </c>
      <c r="C43" s="45" t="s">
        <v>89</v>
      </c>
      <c r="D43" s="45" t="s">
        <v>218</v>
      </c>
      <c r="E43" s="45" t="s">
        <v>151</v>
      </c>
      <c r="F43" s="335">
        <v>25000000</v>
      </c>
      <c r="G43" s="335">
        <v>25000000</v>
      </c>
      <c r="H43" s="12">
        <v>42431</v>
      </c>
      <c r="I43" s="12">
        <f>H43+35</f>
        <v>42466</v>
      </c>
      <c r="J43" s="365">
        <v>25000000</v>
      </c>
      <c r="K43" s="12">
        <f>H43+180</f>
        <v>42611</v>
      </c>
      <c r="L43" s="28">
        <v>0</v>
      </c>
      <c r="M43" s="28">
        <f t="shared" si="7"/>
        <v>25000000</v>
      </c>
      <c r="N43" s="12">
        <v>42566</v>
      </c>
      <c r="O43" s="207"/>
    </row>
    <row r="44" spans="1:15" s="14" customFormat="1">
      <c r="A44" s="14">
        <v>4614</v>
      </c>
      <c r="B44" s="14" t="s">
        <v>86</v>
      </c>
      <c r="C44" s="45" t="s">
        <v>375</v>
      </c>
      <c r="D44" s="250" t="s">
        <v>349</v>
      </c>
      <c r="E44" s="250" t="s">
        <v>350</v>
      </c>
      <c r="F44" s="335">
        <v>25000000</v>
      </c>
      <c r="G44" s="335">
        <v>25000000</v>
      </c>
      <c r="H44" s="12">
        <v>42516</v>
      </c>
      <c r="I44" s="12">
        <f t="shared" si="5"/>
        <v>42551</v>
      </c>
      <c r="J44" s="335">
        <v>25000000</v>
      </c>
      <c r="K44" s="12">
        <f t="shared" si="6"/>
        <v>42696</v>
      </c>
      <c r="L44" s="28">
        <v>24000000</v>
      </c>
      <c r="M44" s="28">
        <f t="shared" si="7"/>
        <v>1000000</v>
      </c>
      <c r="N44" s="12">
        <v>42685</v>
      </c>
      <c r="O44" s="207"/>
    </row>
    <row r="45" spans="1:15" s="14" customFormat="1">
      <c r="A45" s="14">
        <v>4616</v>
      </c>
      <c r="B45" s="14" t="s">
        <v>360</v>
      </c>
      <c r="C45" s="45" t="s">
        <v>419</v>
      </c>
      <c r="D45" s="250" t="s">
        <v>420</v>
      </c>
      <c r="E45" s="250" t="s">
        <v>82</v>
      </c>
      <c r="F45" s="335">
        <v>35000000</v>
      </c>
      <c r="G45" s="335">
        <v>35000000</v>
      </c>
      <c r="H45" s="12">
        <v>42516</v>
      </c>
      <c r="I45" s="12">
        <f t="shared" si="5"/>
        <v>42551</v>
      </c>
      <c r="J45" s="335">
        <v>35000000</v>
      </c>
      <c r="K45" s="12">
        <f t="shared" si="6"/>
        <v>42696</v>
      </c>
      <c r="L45" s="28">
        <v>0</v>
      </c>
      <c r="M45" s="28">
        <f t="shared" ref="M45:M50" si="8">G45-L45</f>
        <v>35000000</v>
      </c>
      <c r="N45" s="12">
        <v>42651</v>
      </c>
      <c r="O45" s="207"/>
    </row>
    <row r="46" spans="1:15" s="14" customFormat="1">
      <c r="A46" s="14">
        <v>4617</v>
      </c>
      <c r="B46" s="14" t="s">
        <v>86</v>
      </c>
      <c r="C46" s="250" t="s">
        <v>219</v>
      </c>
      <c r="D46" s="250" t="s">
        <v>421</v>
      </c>
      <c r="E46" s="250" t="s">
        <v>83</v>
      </c>
      <c r="F46" s="335">
        <v>44000000</v>
      </c>
      <c r="G46" s="335">
        <v>44000000</v>
      </c>
      <c r="H46" s="12">
        <v>42524</v>
      </c>
      <c r="I46" s="12">
        <f t="shared" si="5"/>
        <v>42559</v>
      </c>
      <c r="J46" s="335">
        <v>44000000</v>
      </c>
      <c r="K46" s="12">
        <f t="shared" si="6"/>
        <v>42704</v>
      </c>
      <c r="L46" s="28">
        <v>40085000</v>
      </c>
      <c r="M46" s="28">
        <f t="shared" si="8"/>
        <v>3915000</v>
      </c>
      <c r="N46" s="12">
        <v>42704</v>
      </c>
      <c r="O46" s="207"/>
    </row>
    <row r="47" spans="1:15" s="14" customFormat="1">
      <c r="A47" s="14">
        <v>4618</v>
      </c>
      <c r="B47" s="14" t="s">
        <v>360</v>
      </c>
      <c r="C47" s="250" t="s">
        <v>320</v>
      </c>
      <c r="D47" s="250" t="s">
        <v>428</v>
      </c>
      <c r="E47" s="250" t="s">
        <v>84</v>
      </c>
      <c r="F47" s="335">
        <v>35000000</v>
      </c>
      <c r="G47" s="335">
        <v>35000000</v>
      </c>
      <c r="H47" s="12">
        <v>42524</v>
      </c>
      <c r="I47" s="12">
        <f t="shared" si="5"/>
        <v>42559</v>
      </c>
      <c r="J47" s="365">
        <v>0</v>
      </c>
      <c r="K47" s="12">
        <f t="shared" si="6"/>
        <v>42704</v>
      </c>
      <c r="L47" s="28">
        <v>0</v>
      </c>
      <c r="M47" s="28">
        <f t="shared" si="8"/>
        <v>35000000</v>
      </c>
      <c r="N47" s="12">
        <v>42549</v>
      </c>
      <c r="O47" s="207"/>
    </row>
    <row r="48" spans="1:15" s="14" customFormat="1">
      <c r="A48" s="14">
        <v>4619</v>
      </c>
      <c r="B48" s="14" t="s">
        <v>86</v>
      </c>
      <c r="C48" s="45" t="s">
        <v>294</v>
      </c>
      <c r="D48" s="250" t="s">
        <v>295</v>
      </c>
      <c r="E48" s="250" t="s">
        <v>296</v>
      </c>
      <c r="F48" s="335">
        <v>15000000</v>
      </c>
      <c r="G48" s="335">
        <v>15000000</v>
      </c>
      <c r="H48" s="12">
        <v>42524</v>
      </c>
      <c r="I48" s="12">
        <f t="shared" si="5"/>
        <v>42559</v>
      </c>
      <c r="J48" s="335">
        <v>15000000</v>
      </c>
      <c r="K48" s="12">
        <f t="shared" si="6"/>
        <v>42704</v>
      </c>
      <c r="L48" s="28">
        <v>11100000</v>
      </c>
      <c r="M48" s="28">
        <f t="shared" si="8"/>
        <v>3900000</v>
      </c>
      <c r="N48" s="12">
        <v>42703</v>
      </c>
      <c r="O48" s="207"/>
    </row>
    <row r="49" spans="1:15" s="14" customFormat="1">
      <c r="A49" s="14">
        <v>4620</v>
      </c>
      <c r="B49" s="14" t="s">
        <v>360</v>
      </c>
      <c r="C49" s="1" t="s">
        <v>281</v>
      </c>
      <c r="D49" s="364" t="s">
        <v>265</v>
      </c>
      <c r="E49" s="1" t="s">
        <v>85</v>
      </c>
      <c r="F49" s="305">
        <v>50000000</v>
      </c>
      <c r="G49" s="305">
        <v>50000000</v>
      </c>
      <c r="H49" s="12">
        <v>42525</v>
      </c>
      <c r="I49" s="12">
        <f t="shared" si="5"/>
        <v>42560</v>
      </c>
      <c r="J49" s="305">
        <v>50000000</v>
      </c>
      <c r="K49" s="12">
        <f t="shared" si="6"/>
        <v>42705</v>
      </c>
      <c r="L49" s="28">
        <v>0</v>
      </c>
      <c r="M49" s="28">
        <f t="shared" si="8"/>
        <v>50000000</v>
      </c>
      <c r="N49" s="12">
        <v>42595</v>
      </c>
      <c r="O49" s="207"/>
    </row>
    <row r="50" spans="1:15" s="14" customFormat="1">
      <c r="A50" s="14">
        <v>4621</v>
      </c>
      <c r="B50" s="14" t="s">
        <v>360</v>
      </c>
      <c r="C50" s="250" t="s">
        <v>219</v>
      </c>
      <c r="D50" s="364" t="s">
        <v>435</v>
      </c>
      <c r="E50" s="1" t="s">
        <v>83</v>
      </c>
      <c r="F50" s="305">
        <v>45000000</v>
      </c>
      <c r="G50" s="305">
        <v>45000000</v>
      </c>
      <c r="H50" s="12">
        <v>42525</v>
      </c>
      <c r="I50" s="12">
        <f t="shared" si="5"/>
        <v>42560</v>
      </c>
      <c r="J50" s="365"/>
      <c r="K50" s="12">
        <f t="shared" si="6"/>
        <v>42705</v>
      </c>
      <c r="L50" s="28">
        <v>0</v>
      </c>
      <c r="M50" s="28">
        <f t="shared" si="8"/>
        <v>45000000</v>
      </c>
      <c r="N50" s="12">
        <v>42556</v>
      </c>
      <c r="O50" s="207"/>
    </row>
    <row r="51" spans="1:15" s="14" customFormat="1">
      <c r="A51" s="14" t="s">
        <v>434</v>
      </c>
      <c r="B51" s="14" t="s">
        <v>360</v>
      </c>
      <c r="C51" s="250" t="s">
        <v>219</v>
      </c>
      <c r="D51" s="364" t="s">
        <v>438</v>
      </c>
      <c r="E51" s="1" t="s">
        <v>83</v>
      </c>
      <c r="F51" s="305">
        <v>0</v>
      </c>
      <c r="G51" s="305">
        <v>0</v>
      </c>
      <c r="H51" s="12"/>
      <c r="I51" s="12"/>
      <c r="J51" s="365">
        <v>0</v>
      </c>
      <c r="K51" s="12"/>
      <c r="L51" s="28">
        <v>0</v>
      </c>
      <c r="M51" s="28">
        <v>0</v>
      </c>
      <c r="N51" s="12">
        <v>42525</v>
      </c>
      <c r="O51" s="207"/>
    </row>
    <row r="52" spans="1:15" s="14" customFormat="1">
      <c r="A52" s="14">
        <v>4622</v>
      </c>
      <c r="B52" s="14" t="s">
        <v>360</v>
      </c>
      <c r="C52" s="250" t="s">
        <v>219</v>
      </c>
      <c r="D52" s="364" t="s">
        <v>436</v>
      </c>
      <c r="E52" s="1" t="s">
        <v>83</v>
      </c>
      <c r="F52" s="305">
        <v>50000000</v>
      </c>
      <c r="G52" s="305">
        <v>50000000</v>
      </c>
      <c r="H52" s="12">
        <v>42531</v>
      </c>
      <c r="I52" s="12">
        <f t="shared" si="5"/>
        <v>42566</v>
      </c>
      <c r="J52" s="365"/>
      <c r="K52" s="12">
        <f t="shared" si="6"/>
        <v>42711</v>
      </c>
      <c r="L52" s="28">
        <v>0</v>
      </c>
      <c r="M52" s="28">
        <f t="shared" ref="M52:M60" si="9">G52-L52</f>
        <v>50000000</v>
      </c>
      <c r="N52" s="12">
        <v>42556</v>
      </c>
      <c r="O52" s="207"/>
    </row>
    <row r="53" spans="1:15" s="14" customFormat="1">
      <c r="A53" s="14">
        <v>4624</v>
      </c>
      <c r="B53" s="14" t="s">
        <v>360</v>
      </c>
      <c r="C53" s="250" t="s">
        <v>219</v>
      </c>
      <c r="D53" s="364" t="s">
        <v>437</v>
      </c>
      <c r="E53" s="1" t="s">
        <v>83</v>
      </c>
      <c r="F53" s="305">
        <v>45000000</v>
      </c>
      <c r="G53" s="305">
        <v>45000000</v>
      </c>
      <c r="H53" s="12">
        <v>42531</v>
      </c>
      <c r="I53" s="12">
        <f t="shared" si="5"/>
        <v>42566</v>
      </c>
      <c r="J53" s="365"/>
      <c r="K53" s="12">
        <f t="shared" si="6"/>
        <v>42711</v>
      </c>
      <c r="L53" s="28">
        <v>0</v>
      </c>
      <c r="M53" s="28">
        <f t="shared" si="9"/>
        <v>45000000</v>
      </c>
      <c r="N53" s="12">
        <v>42556</v>
      </c>
      <c r="O53" s="207"/>
    </row>
    <row r="54" spans="1:15" s="14" customFormat="1">
      <c r="A54" s="14">
        <v>4625</v>
      </c>
      <c r="B54" s="14" t="s">
        <v>360</v>
      </c>
      <c r="C54" s="250" t="s">
        <v>303</v>
      </c>
      <c r="D54" s="364" t="s">
        <v>440</v>
      </c>
      <c r="E54" s="1" t="s">
        <v>441</v>
      </c>
      <c r="F54" s="305">
        <v>80000000</v>
      </c>
      <c r="G54" s="305">
        <v>80000000</v>
      </c>
      <c r="H54" s="12">
        <v>42538</v>
      </c>
      <c r="I54" s="12">
        <f t="shared" si="5"/>
        <v>42573</v>
      </c>
      <c r="J54" s="305">
        <v>80000000</v>
      </c>
      <c r="K54" s="12">
        <f>H54+150</f>
        <v>42688</v>
      </c>
      <c r="L54" s="28">
        <v>0</v>
      </c>
      <c r="M54" s="28">
        <f t="shared" si="9"/>
        <v>80000000</v>
      </c>
      <c r="N54" s="12"/>
      <c r="O54" s="207"/>
    </row>
    <row r="55" spans="1:15" s="14" customFormat="1">
      <c r="A55" s="14">
        <v>4626</v>
      </c>
      <c r="B55" s="14" t="s">
        <v>360</v>
      </c>
      <c r="C55" s="1" t="s">
        <v>281</v>
      </c>
      <c r="D55" s="364" t="s">
        <v>450</v>
      </c>
      <c r="E55" s="1" t="s">
        <v>85</v>
      </c>
      <c r="F55" s="305">
        <v>35000000</v>
      </c>
      <c r="G55" s="305">
        <v>35000000</v>
      </c>
      <c r="H55" s="12">
        <v>42538</v>
      </c>
      <c r="I55" s="12">
        <f t="shared" ref="I55" si="10">H55+35</f>
        <v>42573</v>
      </c>
      <c r="J55" s="305">
        <v>35000000</v>
      </c>
      <c r="K55" s="12">
        <f t="shared" ref="K55" si="11">H55+180</f>
        <v>42718</v>
      </c>
      <c r="L55" s="28"/>
      <c r="M55" s="28">
        <f t="shared" si="9"/>
        <v>35000000</v>
      </c>
      <c r="N55" s="12">
        <v>42707</v>
      </c>
      <c r="O55" s="207"/>
    </row>
    <row r="56" spans="1:15" s="14" customFormat="1">
      <c r="A56" s="14" t="s">
        <v>453</v>
      </c>
      <c r="B56" s="14" t="s">
        <v>360</v>
      </c>
      <c r="C56" s="1" t="s">
        <v>454</v>
      </c>
      <c r="D56" s="364" t="s">
        <v>455</v>
      </c>
      <c r="E56" s="1" t="s">
        <v>103</v>
      </c>
      <c r="F56" s="305">
        <v>0</v>
      </c>
      <c r="G56" s="305">
        <v>0</v>
      </c>
      <c r="H56" s="12"/>
      <c r="I56" s="12"/>
      <c r="J56" s="365">
        <v>0</v>
      </c>
      <c r="K56" s="12"/>
      <c r="L56" s="28">
        <v>0</v>
      </c>
      <c r="M56" s="28">
        <f t="shared" si="9"/>
        <v>0</v>
      </c>
      <c r="N56" s="12">
        <v>42535</v>
      </c>
      <c r="O56" s="207"/>
    </row>
    <row r="57" spans="1:15" s="14" customFormat="1">
      <c r="A57" s="14">
        <v>4627</v>
      </c>
      <c r="B57" s="14" t="s">
        <v>86</v>
      </c>
      <c r="C57" s="45" t="s">
        <v>318</v>
      </c>
      <c r="D57" s="45" t="s">
        <v>319</v>
      </c>
      <c r="E57" s="45" t="s">
        <v>211</v>
      </c>
      <c r="F57" s="335">
        <v>25000000</v>
      </c>
      <c r="G57" s="335">
        <v>25000000</v>
      </c>
      <c r="H57" s="12">
        <v>42538</v>
      </c>
      <c r="I57" s="12">
        <f t="shared" ref="I57:I66" si="12">H57+35</f>
        <v>42573</v>
      </c>
      <c r="J57" s="335">
        <v>25000000</v>
      </c>
      <c r="K57" s="12">
        <f t="shared" ref="K57:K66" si="13">H57+180</f>
        <v>42718</v>
      </c>
      <c r="L57" s="28">
        <v>25000000</v>
      </c>
      <c r="M57" s="28">
        <f t="shared" si="9"/>
        <v>0</v>
      </c>
      <c r="N57" s="12">
        <v>42717</v>
      </c>
      <c r="O57" s="207"/>
    </row>
    <row r="58" spans="1:15" s="14" customFormat="1">
      <c r="A58" s="14">
        <v>4630</v>
      </c>
      <c r="B58" s="14" t="s">
        <v>360</v>
      </c>
      <c r="C58" s="45" t="s">
        <v>303</v>
      </c>
      <c r="D58" s="250" t="s">
        <v>310</v>
      </c>
      <c r="E58" s="250" t="s">
        <v>84</v>
      </c>
      <c r="F58" s="335">
        <v>100000000</v>
      </c>
      <c r="G58" s="335">
        <v>100000000</v>
      </c>
      <c r="H58" s="12">
        <v>42557</v>
      </c>
      <c r="I58" s="12">
        <f t="shared" si="12"/>
        <v>42592</v>
      </c>
      <c r="J58" s="335">
        <v>100000000</v>
      </c>
      <c r="K58" s="12">
        <f>H58+150</f>
        <v>42707</v>
      </c>
      <c r="L58" s="28">
        <v>0</v>
      </c>
      <c r="M58" s="28">
        <f t="shared" si="9"/>
        <v>100000000</v>
      </c>
      <c r="N58" s="12">
        <v>42630</v>
      </c>
      <c r="O58" s="207"/>
    </row>
    <row r="59" spans="1:15" s="14" customFormat="1">
      <c r="A59" s="14">
        <v>4631</v>
      </c>
      <c r="B59" s="14" t="s">
        <v>86</v>
      </c>
      <c r="C59" s="1" t="s">
        <v>219</v>
      </c>
      <c r="D59" s="364" t="s">
        <v>239</v>
      </c>
      <c r="E59" s="1" t="s">
        <v>83</v>
      </c>
      <c r="F59" s="305">
        <v>15000000</v>
      </c>
      <c r="G59" s="305">
        <v>15000000</v>
      </c>
      <c r="H59" s="12">
        <v>42557</v>
      </c>
      <c r="I59" s="12">
        <f t="shared" si="12"/>
        <v>42592</v>
      </c>
      <c r="J59" s="365">
        <v>15000000</v>
      </c>
      <c r="K59" s="12">
        <f t="shared" si="13"/>
        <v>42737</v>
      </c>
      <c r="L59" s="28">
        <v>15000000</v>
      </c>
      <c r="M59" s="28">
        <f t="shared" si="9"/>
        <v>0</v>
      </c>
      <c r="N59" s="12">
        <v>42613</v>
      </c>
      <c r="O59" s="207"/>
    </row>
    <row r="60" spans="1:15" s="14" customFormat="1">
      <c r="A60" s="14">
        <v>4632</v>
      </c>
      <c r="B60" s="14" t="s">
        <v>86</v>
      </c>
      <c r="C60" s="1" t="s">
        <v>107</v>
      </c>
      <c r="D60" s="364" t="s">
        <v>372</v>
      </c>
      <c r="E60" s="1" t="s">
        <v>84</v>
      </c>
      <c r="F60" s="305">
        <v>40000000</v>
      </c>
      <c r="G60" s="305">
        <v>40000000</v>
      </c>
      <c r="H60" s="12">
        <v>42557</v>
      </c>
      <c r="I60" s="12">
        <f t="shared" si="12"/>
        <v>42592</v>
      </c>
      <c r="J60" s="305">
        <v>40000000</v>
      </c>
      <c r="K60" s="12">
        <f t="shared" si="13"/>
        <v>42737</v>
      </c>
      <c r="L60" s="28">
        <v>37003000</v>
      </c>
      <c r="M60" s="28">
        <f t="shared" si="9"/>
        <v>2997000</v>
      </c>
      <c r="N60" s="12">
        <v>42671</v>
      </c>
      <c r="O60" s="207"/>
    </row>
    <row r="61" spans="1:15" s="14" customFormat="1">
      <c r="A61" s="14">
        <v>4633</v>
      </c>
      <c r="B61" s="14" t="s">
        <v>80</v>
      </c>
      <c r="C61" s="250" t="s">
        <v>320</v>
      </c>
      <c r="D61" s="250" t="s">
        <v>428</v>
      </c>
      <c r="E61" s="250" t="s">
        <v>84</v>
      </c>
      <c r="F61" s="335">
        <v>35000000</v>
      </c>
      <c r="G61" s="335">
        <v>35000000</v>
      </c>
      <c r="H61" s="12">
        <v>42557</v>
      </c>
      <c r="I61" s="12">
        <f t="shared" si="12"/>
        <v>42592</v>
      </c>
      <c r="J61" s="335">
        <v>35000000</v>
      </c>
      <c r="K61" s="12">
        <f t="shared" si="13"/>
        <v>42737</v>
      </c>
      <c r="L61" s="28"/>
      <c r="M61" s="28"/>
      <c r="N61" s="12"/>
      <c r="O61" s="207"/>
    </row>
    <row r="62" spans="1:15" s="14" customFormat="1">
      <c r="A62" s="14">
        <v>4634</v>
      </c>
      <c r="B62" s="14" t="s">
        <v>80</v>
      </c>
      <c r="C62" s="1" t="s">
        <v>454</v>
      </c>
      <c r="D62" s="364" t="s">
        <v>455</v>
      </c>
      <c r="E62" s="1" t="s">
        <v>103</v>
      </c>
      <c r="F62" s="335">
        <v>20000000</v>
      </c>
      <c r="G62" s="335">
        <v>20000000</v>
      </c>
      <c r="H62" s="12">
        <v>42557</v>
      </c>
      <c r="I62" s="12">
        <f t="shared" si="12"/>
        <v>42592</v>
      </c>
      <c r="J62" s="335">
        <v>20000000</v>
      </c>
      <c r="K62" s="12">
        <f t="shared" si="13"/>
        <v>42737</v>
      </c>
      <c r="L62" s="28"/>
      <c r="M62" s="28"/>
      <c r="N62" s="12"/>
      <c r="O62" s="207"/>
    </row>
    <row r="63" spans="1:15" s="14" customFormat="1">
      <c r="A63" s="14">
        <v>4636</v>
      </c>
      <c r="B63" s="14" t="s">
        <v>360</v>
      </c>
      <c r="C63" s="1" t="s">
        <v>348</v>
      </c>
      <c r="D63" s="364" t="s">
        <v>321</v>
      </c>
      <c r="E63" s="1" t="s">
        <v>164</v>
      </c>
      <c r="F63" s="335">
        <v>30000000</v>
      </c>
      <c r="G63" s="335">
        <v>30000000</v>
      </c>
      <c r="H63" s="12">
        <v>42563</v>
      </c>
      <c r="I63" s="12">
        <f t="shared" si="12"/>
        <v>42598</v>
      </c>
      <c r="J63" s="335">
        <v>30000000</v>
      </c>
      <c r="K63" s="12">
        <f t="shared" si="13"/>
        <v>42743</v>
      </c>
      <c r="L63" s="28"/>
      <c r="M63" s="28">
        <f>G63-L63</f>
        <v>30000000</v>
      </c>
      <c r="N63" s="12">
        <v>42670</v>
      </c>
      <c r="O63" s="207"/>
    </row>
    <row r="64" spans="1:15" s="14" customFormat="1">
      <c r="A64" s="14">
        <v>4639</v>
      </c>
      <c r="B64" s="14" t="s">
        <v>360</v>
      </c>
      <c r="C64" s="45" t="s">
        <v>89</v>
      </c>
      <c r="D64" s="45" t="s">
        <v>218</v>
      </c>
      <c r="E64" s="45" t="s">
        <v>151</v>
      </c>
      <c r="F64" s="335">
        <v>25000000</v>
      </c>
      <c r="G64" s="335">
        <v>25000000</v>
      </c>
      <c r="H64" s="12">
        <v>42584</v>
      </c>
      <c r="I64" s="12">
        <f t="shared" si="12"/>
        <v>42619</v>
      </c>
      <c r="J64" s="335">
        <v>25000000</v>
      </c>
      <c r="K64" s="12">
        <f t="shared" si="13"/>
        <v>42764</v>
      </c>
      <c r="L64" s="28"/>
      <c r="M64" s="28">
        <f>G64-L64</f>
        <v>25000000</v>
      </c>
      <c r="N64" s="12">
        <v>42725</v>
      </c>
      <c r="O64" s="207"/>
    </row>
    <row r="65" spans="1:15" s="14" customFormat="1">
      <c r="A65" s="14">
        <v>4640</v>
      </c>
      <c r="B65" s="14" t="s">
        <v>86</v>
      </c>
      <c r="C65" s="45" t="s">
        <v>385</v>
      </c>
      <c r="D65" s="45" t="s">
        <v>203</v>
      </c>
      <c r="E65" s="45" t="s">
        <v>88</v>
      </c>
      <c r="F65" s="335">
        <v>30000000</v>
      </c>
      <c r="G65" s="335">
        <v>30000000</v>
      </c>
      <c r="H65" s="12">
        <v>42584</v>
      </c>
      <c r="I65" s="12">
        <f t="shared" si="12"/>
        <v>42619</v>
      </c>
      <c r="J65" s="335">
        <v>30000000</v>
      </c>
      <c r="K65" s="12">
        <f t="shared" si="13"/>
        <v>42764</v>
      </c>
      <c r="L65" s="28">
        <v>0</v>
      </c>
      <c r="M65" s="28">
        <f>G65-L65</f>
        <v>30000000</v>
      </c>
      <c r="N65" s="12">
        <v>42648</v>
      </c>
      <c r="O65" s="207" t="s">
        <v>569</v>
      </c>
    </row>
    <row r="66" spans="1:15" s="14" customFormat="1">
      <c r="A66" s="14">
        <v>4650</v>
      </c>
      <c r="B66" s="14" t="s">
        <v>80</v>
      </c>
      <c r="C66" s="45" t="s">
        <v>509</v>
      </c>
      <c r="D66" s="45" t="s">
        <v>510</v>
      </c>
      <c r="E66" s="45" t="s">
        <v>511</v>
      </c>
      <c r="F66" s="335">
        <v>51757648</v>
      </c>
      <c r="G66" s="335">
        <v>51757648</v>
      </c>
      <c r="H66" s="12">
        <v>42598</v>
      </c>
      <c r="I66" s="12">
        <f t="shared" si="12"/>
        <v>42633</v>
      </c>
      <c r="J66" s="335">
        <v>51757648</v>
      </c>
      <c r="K66" s="12">
        <f t="shared" si="13"/>
        <v>42778</v>
      </c>
      <c r="L66" s="28"/>
      <c r="M66" s="28"/>
      <c r="N66" s="12"/>
      <c r="O66" s="207"/>
    </row>
    <row r="67" spans="1:15" s="14" customFormat="1">
      <c r="A67" s="14" t="s">
        <v>513</v>
      </c>
      <c r="B67" s="14" t="s">
        <v>45</v>
      </c>
      <c r="C67" s="45" t="s">
        <v>514</v>
      </c>
      <c r="D67" s="45" t="s">
        <v>515</v>
      </c>
      <c r="E67" s="45" t="s">
        <v>516</v>
      </c>
      <c r="F67" s="335"/>
      <c r="G67" s="335"/>
      <c r="H67" s="12"/>
      <c r="I67" s="12"/>
      <c r="J67" s="28"/>
      <c r="K67" s="12"/>
      <c r="L67" s="28"/>
      <c r="M67" s="28"/>
      <c r="N67" s="12"/>
      <c r="O67" s="207"/>
    </row>
    <row r="68" spans="1:15" s="14" customFormat="1">
      <c r="A68" s="14" t="s">
        <v>519</v>
      </c>
      <c r="B68" s="14" t="s">
        <v>45</v>
      </c>
      <c r="C68" s="45" t="s">
        <v>520</v>
      </c>
      <c r="D68" s="45" t="s">
        <v>521</v>
      </c>
      <c r="E68" s="45" t="s">
        <v>522</v>
      </c>
      <c r="F68" s="335"/>
      <c r="G68" s="335"/>
      <c r="H68" s="12"/>
      <c r="I68" s="12"/>
      <c r="J68" s="28"/>
      <c r="K68" s="12"/>
      <c r="L68" s="28"/>
      <c r="M68" s="28"/>
      <c r="N68" s="12"/>
      <c r="O68" s="207"/>
    </row>
    <row r="69" spans="1:15" s="14" customFormat="1">
      <c r="A69" s="14" t="s">
        <v>535</v>
      </c>
      <c r="B69" s="14" t="s">
        <v>45</v>
      </c>
      <c r="C69" s="250" t="s">
        <v>320</v>
      </c>
      <c r="D69" s="45" t="s">
        <v>537</v>
      </c>
      <c r="E69" s="45" t="s">
        <v>84</v>
      </c>
      <c r="F69" s="335"/>
      <c r="G69" s="335"/>
      <c r="H69" s="12"/>
      <c r="I69" s="12"/>
      <c r="J69" s="28"/>
      <c r="K69" s="12"/>
      <c r="L69" s="28"/>
      <c r="M69" s="28"/>
      <c r="N69" s="12"/>
      <c r="O69" s="207"/>
    </row>
    <row r="70" spans="1:15" s="14" customFormat="1">
      <c r="A70" s="14" t="s">
        <v>536</v>
      </c>
      <c r="B70" s="14" t="s">
        <v>45</v>
      </c>
      <c r="C70" s="250" t="s">
        <v>320</v>
      </c>
      <c r="D70" s="45" t="s">
        <v>538</v>
      </c>
      <c r="E70" s="45" t="s">
        <v>84</v>
      </c>
      <c r="F70" s="335"/>
      <c r="G70" s="335"/>
      <c r="H70" s="12"/>
      <c r="I70" s="12"/>
      <c r="J70" s="28"/>
      <c r="K70" s="12"/>
      <c r="L70" s="28"/>
      <c r="M70" s="28"/>
      <c r="N70" s="12"/>
      <c r="O70" s="207"/>
    </row>
    <row r="71" spans="1:15" s="14" customFormat="1">
      <c r="A71" s="14" t="s">
        <v>548</v>
      </c>
      <c r="B71" s="14" t="s">
        <v>45</v>
      </c>
      <c r="C71" s="250" t="s">
        <v>550</v>
      </c>
      <c r="D71" s="45" t="s">
        <v>549</v>
      </c>
      <c r="E71" s="45" t="s">
        <v>85</v>
      </c>
      <c r="F71" s="335"/>
      <c r="G71" s="335"/>
      <c r="H71" s="12"/>
      <c r="I71" s="12"/>
      <c r="J71" s="28"/>
      <c r="K71" s="12"/>
      <c r="L71" s="28"/>
      <c r="M71" s="28"/>
      <c r="N71" s="12"/>
      <c r="O71" s="207"/>
    </row>
    <row r="72" spans="1:15" s="14" customFormat="1">
      <c r="A72" s="14" t="s">
        <v>554</v>
      </c>
      <c r="B72" s="14" t="s">
        <v>45</v>
      </c>
      <c r="C72" s="250" t="s">
        <v>281</v>
      </c>
      <c r="D72" s="45" t="s">
        <v>555</v>
      </c>
      <c r="E72" s="45" t="s">
        <v>85</v>
      </c>
      <c r="F72" s="335"/>
      <c r="G72" s="335"/>
      <c r="H72" s="12"/>
      <c r="I72" s="12"/>
      <c r="J72" s="28"/>
      <c r="K72" s="12"/>
      <c r="L72" s="28"/>
      <c r="M72" s="28"/>
      <c r="N72" s="12"/>
      <c r="O72" s="207"/>
    </row>
    <row r="73" spans="1:15" s="14" customFormat="1">
      <c r="A73" s="14" t="s">
        <v>556</v>
      </c>
      <c r="B73" s="14" t="s">
        <v>45</v>
      </c>
      <c r="C73" s="250" t="s">
        <v>281</v>
      </c>
      <c r="D73" s="45" t="s">
        <v>557</v>
      </c>
      <c r="E73" s="45" t="s">
        <v>85</v>
      </c>
      <c r="F73" s="335"/>
      <c r="G73" s="335"/>
      <c r="H73" s="12"/>
      <c r="I73" s="12"/>
      <c r="J73" s="28"/>
      <c r="K73" s="12"/>
      <c r="L73" s="28"/>
      <c r="M73" s="28"/>
      <c r="N73" s="12"/>
      <c r="O73" s="207"/>
    </row>
    <row r="74" spans="1:15" s="14" customFormat="1">
      <c r="A74" s="14" t="s">
        <v>558</v>
      </c>
      <c r="B74" s="14" t="s">
        <v>45</v>
      </c>
      <c r="C74" s="250" t="s">
        <v>273</v>
      </c>
      <c r="D74" s="45" t="s">
        <v>559</v>
      </c>
      <c r="E74" s="45" t="s">
        <v>192</v>
      </c>
      <c r="F74" s="335"/>
      <c r="G74" s="335"/>
      <c r="H74" s="12"/>
      <c r="I74" s="12"/>
      <c r="J74" s="28"/>
      <c r="K74" s="12"/>
      <c r="L74" s="28"/>
      <c r="M74" s="28"/>
      <c r="N74" s="12"/>
      <c r="O74" s="207"/>
    </row>
    <row r="75" spans="1:15" s="14" customFormat="1">
      <c r="B75" s="45"/>
      <c r="C75" s="1"/>
      <c r="D75" s="45"/>
      <c r="E75" s="45"/>
      <c r="F75" s="10"/>
      <c r="G75" s="10"/>
      <c r="H75" s="12"/>
      <c r="I75" s="12"/>
      <c r="J75" s="10"/>
      <c r="K75" s="7"/>
      <c r="L75" s="49"/>
      <c r="M75" s="82"/>
      <c r="N75" s="12"/>
      <c r="O75" s="207"/>
    </row>
    <row r="76" spans="1:15">
      <c r="A76" s="5"/>
      <c r="B76" s="205"/>
      <c r="C76" s="5" t="s">
        <v>6</v>
      </c>
      <c r="F76" s="103">
        <f>SUM(F7:F75)</f>
        <v>2280757648</v>
      </c>
      <c r="G76" s="103">
        <f>SUM(G7:G75)</f>
        <v>2280757648</v>
      </c>
      <c r="H76" s="3"/>
      <c r="I76" s="97"/>
      <c r="J76" s="103">
        <f>SUM(J7:J75)</f>
        <v>1847257648</v>
      </c>
      <c r="K76" s="97"/>
      <c r="L76" s="103">
        <f>SUM(L7:L75)</f>
        <v>452766647.80000001</v>
      </c>
      <c r="M76" s="103">
        <f>SUM(M7:M75)</f>
        <v>1721233352.2</v>
      </c>
    </row>
    <row r="77" spans="1:15">
      <c r="A77" s="5"/>
      <c r="B77" s="119"/>
    </row>
    <row r="78" spans="1:15">
      <c r="A78" s="5"/>
      <c r="C78" s="5" t="s">
        <v>45</v>
      </c>
      <c r="D78" s="5"/>
      <c r="E78" s="5"/>
      <c r="F78" s="81">
        <f>F76-G76</f>
        <v>0</v>
      </c>
    </row>
    <row r="79" spans="1:15">
      <c r="A79" s="5"/>
      <c r="C79" s="5"/>
      <c r="D79" s="5"/>
      <c r="E79" s="5"/>
      <c r="F79" s="85"/>
      <c r="I79" s="224"/>
      <c r="L79" s="97">
        <f>L7+L8+L9+L14+L17+L26+L37+L38+L41+L44+L46+L48+L57+L59+L60</f>
        <v>334638000</v>
      </c>
      <c r="O79" s="1"/>
    </row>
    <row r="80" spans="1:15">
      <c r="A80" s="5"/>
      <c r="C80" s="207" t="s">
        <v>78</v>
      </c>
      <c r="D80" s="5"/>
      <c r="E80" s="5"/>
      <c r="F80" s="358">
        <f>C1-G76+M76+E88</f>
        <v>338623117.20000005</v>
      </c>
      <c r="G80" s="131" t="s">
        <v>570</v>
      </c>
      <c r="H80" s="97"/>
      <c r="K80" s="224"/>
      <c r="O80" s="1"/>
    </row>
    <row r="81" spans="1:15">
      <c r="A81" s="5"/>
      <c r="H81" s="328"/>
      <c r="I81" s="3"/>
      <c r="K81" s="97"/>
      <c r="L81" s="10"/>
      <c r="O81" s="1"/>
    </row>
    <row r="82" spans="1:15">
      <c r="A82" s="5"/>
      <c r="G82" s="305"/>
      <c r="H82" s="261"/>
      <c r="O82" s="1"/>
    </row>
    <row r="83" spans="1:15">
      <c r="A83" s="5"/>
      <c r="D83" s="1" t="s">
        <v>7</v>
      </c>
      <c r="F83" s="231"/>
      <c r="G83" s="261"/>
      <c r="H83" s="497"/>
      <c r="O83" s="1"/>
    </row>
    <row r="84" spans="1:15" ht="15.75">
      <c r="E84" s="305"/>
      <c r="G84" s="96"/>
      <c r="H84" s="223"/>
      <c r="O84" s="1"/>
    </row>
    <row r="85" spans="1:15" ht="15.75">
      <c r="E85" s="305"/>
      <c r="G85" s="96"/>
      <c r="H85" s="223"/>
      <c r="O85" s="1"/>
    </row>
    <row r="86" spans="1:15" ht="15.75">
      <c r="C86" s="45"/>
      <c r="E86" s="305"/>
      <c r="G86" s="96"/>
      <c r="H86" s="223"/>
      <c r="O86" s="1"/>
    </row>
    <row r="87" spans="1:15" ht="15.75">
      <c r="C87" s="45"/>
      <c r="E87" s="305"/>
      <c r="G87" s="96"/>
      <c r="H87" s="223"/>
      <c r="O87" s="1"/>
    </row>
    <row r="88" spans="1:15">
      <c r="C88" s="45"/>
      <c r="D88" s="1" t="s">
        <v>408</v>
      </c>
      <c r="E88" s="471">
        <f>SUM(E86:E87)</f>
        <v>0</v>
      </c>
      <c r="F88" s="3"/>
      <c r="G88" s="3"/>
      <c r="O88" s="1"/>
    </row>
    <row r="89" spans="1:15">
      <c r="C89" s="45"/>
      <c r="G89" s="105"/>
      <c r="O89" s="1"/>
    </row>
  </sheetData>
  <phoneticPr fontId="0" type="noConversion"/>
  <pageMargins left="0.75" right="0.75" top="1" bottom="1" header="0.5" footer="0.5"/>
  <pageSetup scale="50" fitToHeight="3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51"/>
  <sheetViews>
    <sheetView workbookViewId="0">
      <selection activeCell="J33" sqref="J33"/>
    </sheetView>
  </sheetViews>
  <sheetFormatPr defaultRowHeight="12"/>
  <cols>
    <col min="2" max="2" width="12.140625" bestFit="1" customWidth="1"/>
    <col min="3" max="3" width="23.5703125" customWidth="1"/>
    <col min="4" max="4" width="48.140625" bestFit="1" customWidth="1"/>
    <col min="5" max="5" width="10.5703125" bestFit="1" customWidth="1"/>
    <col min="6" max="6" width="13.5703125" style="324" bestFit="1" customWidth="1"/>
    <col min="7" max="7" width="14.42578125" style="319" bestFit="1" customWidth="1"/>
    <col min="8" max="8" width="15.28515625" style="319" bestFit="1" customWidth="1"/>
    <col min="9" max="9" width="11.5703125" style="319" bestFit="1" customWidth="1"/>
    <col min="10" max="10" width="12.85546875" style="319" bestFit="1" customWidth="1"/>
    <col min="11" max="11" width="11.5703125" style="319" bestFit="1" customWidth="1"/>
    <col min="12" max="12" width="15.140625" style="319" bestFit="1" customWidth="1"/>
    <col min="13" max="13" width="18.5703125" style="319" bestFit="1" customWidth="1"/>
    <col min="14" max="14" width="10.42578125" bestFit="1" customWidth="1"/>
    <col min="15" max="15" width="13.140625" bestFit="1" customWidth="1"/>
    <col min="16" max="16" width="14.42578125" customWidth="1"/>
    <col min="17" max="17" width="14.5703125" bestFit="1" customWidth="1"/>
  </cols>
  <sheetData>
    <row r="1" spans="1:16" ht="12.75">
      <c r="A1" s="281" t="s">
        <v>171</v>
      </c>
      <c r="B1" s="282"/>
      <c r="C1" s="283"/>
      <c r="D1" s="284"/>
      <c r="E1" s="286"/>
      <c r="F1" s="309"/>
      <c r="G1" s="309"/>
      <c r="H1" s="310"/>
      <c r="I1" s="310"/>
      <c r="J1" s="311"/>
      <c r="K1" s="310"/>
      <c r="L1" s="309"/>
      <c r="M1" s="310"/>
      <c r="N1" s="330"/>
    </row>
    <row r="2" spans="1:16" ht="12.75">
      <c r="A2" s="271" t="s">
        <v>34</v>
      </c>
      <c r="B2" s="272" t="s">
        <v>39</v>
      </c>
      <c r="C2" s="177" t="s">
        <v>32</v>
      </c>
      <c r="D2" s="273" t="s">
        <v>51</v>
      </c>
      <c r="E2" s="273" t="s">
        <v>47</v>
      </c>
      <c r="F2" s="312" t="s">
        <v>92</v>
      </c>
      <c r="G2" s="312" t="s">
        <v>93</v>
      </c>
      <c r="H2" s="313" t="s">
        <v>104</v>
      </c>
      <c r="I2" s="313" t="s">
        <v>94</v>
      </c>
      <c r="J2" s="314" t="s">
        <v>95</v>
      </c>
      <c r="K2" s="313"/>
      <c r="L2" s="312" t="s">
        <v>96</v>
      </c>
      <c r="M2" s="315" t="s">
        <v>97</v>
      </c>
      <c r="N2" s="331" t="s">
        <v>23</v>
      </c>
    </row>
    <row r="3" spans="1:16" ht="12.75">
      <c r="A3" s="271" t="s">
        <v>50</v>
      </c>
      <c r="B3" s="274"/>
      <c r="C3" s="177"/>
      <c r="D3" s="273"/>
      <c r="E3" s="273"/>
      <c r="F3" s="312" t="s">
        <v>57</v>
      </c>
      <c r="G3" s="312" t="s">
        <v>57</v>
      </c>
      <c r="H3" s="313" t="s">
        <v>9</v>
      </c>
      <c r="I3" s="313" t="s">
        <v>18</v>
      </c>
      <c r="J3" s="314" t="s">
        <v>57</v>
      </c>
      <c r="K3" s="313" t="s">
        <v>18</v>
      </c>
      <c r="L3" s="312" t="s">
        <v>57</v>
      </c>
      <c r="M3" s="315" t="s">
        <v>98</v>
      </c>
      <c r="N3" s="331" t="s">
        <v>5</v>
      </c>
    </row>
    <row r="4" spans="1:16" ht="13.5" thickBot="1">
      <c r="A4" s="275" t="s">
        <v>17</v>
      </c>
      <c r="B4" s="276"/>
      <c r="C4" s="277"/>
      <c r="D4" s="278"/>
      <c r="E4" s="278"/>
      <c r="F4" s="316"/>
      <c r="G4" s="316"/>
      <c r="H4" s="317"/>
      <c r="I4" s="317"/>
      <c r="J4" s="318"/>
      <c r="K4" s="317"/>
      <c r="L4" s="316"/>
      <c r="M4" s="316"/>
      <c r="N4" s="332" t="s">
        <v>9</v>
      </c>
    </row>
    <row r="5" spans="1:16" s="1" customFormat="1">
      <c r="A5" s="32" t="s">
        <v>174</v>
      </c>
      <c r="F5" s="83"/>
      <c r="G5" s="207"/>
      <c r="H5" s="207"/>
      <c r="I5" s="207"/>
      <c r="J5" s="207"/>
      <c r="K5" s="207"/>
      <c r="L5" s="207"/>
      <c r="M5" s="207"/>
    </row>
    <row r="6" spans="1:16">
      <c r="A6" s="374" t="s">
        <v>173</v>
      </c>
      <c r="B6" s="1" t="s">
        <v>86</v>
      </c>
      <c r="C6" s="1" t="s">
        <v>105</v>
      </c>
      <c r="D6" s="1" t="s">
        <v>155</v>
      </c>
      <c r="E6" s="1" t="s">
        <v>103</v>
      </c>
      <c r="F6" s="83">
        <v>27000000</v>
      </c>
      <c r="G6" s="83">
        <v>27000000</v>
      </c>
      <c r="H6" s="264">
        <v>41642</v>
      </c>
      <c r="I6" s="264">
        <v>41654</v>
      </c>
      <c r="J6" s="83">
        <v>4000000</v>
      </c>
      <c r="K6" s="264">
        <v>42734</v>
      </c>
      <c r="L6" s="371"/>
      <c r="M6" s="252">
        <f>J6-L6</f>
        <v>4000000</v>
      </c>
      <c r="N6" s="3"/>
    </row>
    <row r="7" spans="1:16">
      <c r="F7" s="319"/>
      <c r="H7" s="207"/>
      <c r="I7" s="207"/>
      <c r="J7" s="207"/>
      <c r="K7" s="207"/>
      <c r="L7" s="207"/>
      <c r="M7" s="207"/>
      <c r="N7" s="1"/>
    </row>
    <row r="8" spans="1:16">
      <c r="A8" s="32" t="s">
        <v>99</v>
      </c>
      <c r="F8" s="320"/>
      <c r="G8" s="320"/>
      <c r="H8" s="207"/>
      <c r="I8" s="207"/>
      <c r="J8" s="207"/>
      <c r="K8" s="207"/>
      <c r="L8" s="207"/>
      <c r="M8" s="207"/>
      <c r="N8" s="1"/>
    </row>
    <row r="9" spans="1:16">
      <c r="A9" s="207" t="s">
        <v>175</v>
      </c>
      <c r="B9" s="1" t="s">
        <v>86</v>
      </c>
      <c r="C9" s="1" t="s">
        <v>156</v>
      </c>
      <c r="D9" s="1" t="s">
        <v>176</v>
      </c>
      <c r="E9" s="1" t="s">
        <v>83</v>
      </c>
      <c r="F9" s="83">
        <v>50000000</v>
      </c>
      <c r="G9" s="83">
        <v>50000000</v>
      </c>
      <c r="H9" s="264">
        <v>41642</v>
      </c>
      <c r="I9" s="264">
        <v>41654</v>
      </c>
      <c r="J9" s="83">
        <v>15000000</v>
      </c>
      <c r="K9" s="264">
        <v>42734</v>
      </c>
      <c r="L9" s="83">
        <v>15000000</v>
      </c>
      <c r="M9" s="252">
        <f>J9-L9</f>
        <v>0</v>
      </c>
      <c r="N9" s="3">
        <v>42545</v>
      </c>
      <c r="O9" s="207">
        <v>4539</v>
      </c>
    </row>
    <row r="10" spans="1:16" s="326" customFormat="1">
      <c r="A10" s="290" t="s">
        <v>177</v>
      </c>
      <c r="B10" s="4" t="s">
        <v>80</v>
      </c>
      <c r="C10" s="4" t="s">
        <v>169</v>
      </c>
      <c r="D10" s="4" t="s">
        <v>154</v>
      </c>
      <c r="E10" s="4" t="s">
        <v>87</v>
      </c>
      <c r="F10" s="77">
        <v>28000000</v>
      </c>
      <c r="G10" s="77">
        <v>23090308.050000012</v>
      </c>
      <c r="H10" s="301">
        <v>41642</v>
      </c>
      <c r="I10" s="301">
        <v>41654</v>
      </c>
      <c r="J10" s="77">
        <v>23090308.050000012</v>
      </c>
      <c r="K10" s="301">
        <v>42734</v>
      </c>
      <c r="L10" s="70"/>
      <c r="M10" s="128">
        <f>J10-L10</f>
        <v>23090308.050000012</v>
      </c>
      <c r="N10" s="4"/>
    </row>
    <row r="11" spans="1:16">
      <c r="A11" s="1"/>
      <c r="B11" s="1"/>
      <c r="C11" s="1"/>
      <c r="D11" s="1"/>
      <c r="E11" s="1"/>
      <c r="F11" s="83"/>
      <c r="G11" s="79"/>
      <c r="H11" s="207"/>
      <c r="I11" s="207"/>
      <c r="J11" s="207"/>
      <c r="K11" s="207"/>
      <c r="L11" s="207"/>
      <c r="M11" s="207"/>
      <c r="N11" s="1"/>
    </row>
    <row r="12" spans="1:16">
      <c r="A12" s="1"/>
      <c r="B12" s="1"/>
      <c r="C12" s="1"/>
      <c r="D12" s="1"/>
      <c r="E12" s="1"/>
      <c r="F12" s="113">
        <f>SUM(F5:F11)</f>
        <v>105000000</v>
      </c>
      <c r="G12" s="113">
        <f>SUM(G5:G11)</f>
        <v>100090308.05000001</v>
      </c>
      <c r="H12" s="207"/>
      <c r="I12" s="207"/>
      <c r="J12" s="207"/>
      <c r="K12" s="207"/>
      <c r="L12" s="113">
        <f>SUM(L5:L11)</f>
        <v>15000000</v>
      </c>
      <c r="M12" s="344">
        <f>SUM(M5:M11)</f>
        <v>27090308.050000012</v>
      </c>
      <c r="N12" s="1"/>
    </row>
    <row r="13" spans="1:16" ht="12.75" thickBot="1">
      <c r="A13" s="1"/>
      <c r="B13" s="1"/>
      <c r="C13" s="1"/>
      <c r="D13" s="1"/>
      <c r="E13" s="1"/>
      <c r="F13" s="83"/>
      <c r="G13" s="207"/>
      <c r="H13" s="207"/>
      <c r="I13" s="207"/>
      <c r="J13" s="207"/>
      <c r="K13" s="207"/>
      <c r="L13" s="207"/>
      <c r="M13" s="207"/>
      <c r="N13" s="1"/>
    </row>
    <row r="14" spans="1:16" ht="12.75">
      <c r="A14" s="281" t="s">
        <v>179</v>
      </c>
      <c r="B14" s="204"/>
      <c r="C14" s="204"/>
      <c r="D14" s="204"/>
      <c r="E14" s="204"/>
      <c r="F14" s="321"/>
      <c r="G14" s="321"/>
      <c r="H14" s="321"/>
      <c r="I14" s="321"/>
      <c r="J14" s="321"/>
      <c r="K14" s="321"/>
      <c r="L14" s="321"/>
      <c r="M14" s="321"/>
      <c r="N14" s="333"/>
    </row>
    <row r="15" spans="1:16" ht="12.75">
      <c r="A15" s="271" t="s">
        <v>34</v>
      </c>
      <c r="B15" s="272" t="s">
        <v>39</v>
      </c>
      <c r="C15" s="177" t="s">
        <v>32</v>
      </c>
      <c r="D15" s="280" t="s">
        <v>51</v>
      </c>
      <c r="E15" s="280" t="s">
        <v>47</v>
      </c>
      <c r="F15" s="312" t="s">
        <v>92</v>
      </c>
      <c r="G15" s="312" t="s">
        <v>56</v>
      </c>
      <c r="H15" s="313"/>
      <c r="I15" s="313" t="s">
        <v>36</v>
      </c>
      <c r="J15" s="314" t="s">
        <v>95</v>
      </c>
      <c r="K15" s="313"/>
      <c r="L15" s="312" t="s">
        <v>100</v>
      </c>
      <c r="M15" s="315" t="s">
        <v>97</v>
      </c>
      <c r="N15" s="331" t="s">
        <v>23</v>
      </c>
    </row>
    <row r="16" spans="1:16" ht="12.75">
      <c r="A16" s="271" t="s">
        <v>50</v>
      </c>
      <c r="B16" s="274"/>
      <c r="C16" s="177"/>
      <c r="D16" s="280"/>
      <c r="E16" s="280"/>
      <c r="F16" s="312" t="s">
        <v>57</v>
      </c>
      <c r="G16" s="312" t="s">
        <v>57</v>
      </c>
      <c r="H16" s="313" t="s">
        <v>9</v>
      </c>
      <c r="I16" s="313" t="s">
        <v>18</v>
      </c>
      <c r="J16" s="314" t="s">
        <v>57</v>
      </c>
      <c r="K16" s="313" t="s">
        <v>18</v>
      </c>
      <c r="L16" s="312" t="s">
        <v>57</v>
      </c>
      <c r="M16" s="315" t="s">
        <v>98</v>
      </c>
      <c r="N16" s="331" t="s">
        <v>5</v>
      </c>
      <c r="P16" s="349"/>
    </row>
    <row r="17" spans="1:17" ht="13.5" thickBot="1">
      <c r="A17" s="275" t="s">
        <v>17</v>
      </c>
      <c r="B17" s="276"/>
      <c r="C17" s="277"/>
      <c r="D17" s="279"/>
      <c r="E17" s="279"/>
      <c r="F17" s="316"/>
      <c r="G17" s="316"/>
      <c r="H17" s="317"/>
      <c r="I17" s="317"/>
      <c r="J17" s="322"/>
      <c r="K17" s="317"/>
      <c r="L17" s="316"/>
      <c r="M17" s="323" t="s">
        <v>101</v>
      </c>
      <c r="N17" s="332" t="s">
        <v>9</v>
      </c>
      <c r="P17" s="350"/>
    </row>
    <row r="18" spans="1:17">
      <c r="A18" s="300" t="s">
        <v>102</v>
      </c>
      <c r="B18" s="1"/>
      <c r="C18" s="1"/>
      <c r="D18" s="1"/>
      <c r="E18" s="1"/>
      <c r="F18" s="252"/>
      <c r="G18" s="207"/>
      <c r="H18" s="207"/>
      <c r="I18" s="207"/>
      <c r="J18" s="207"/>
      <c r="K18" s="207"/>
      <c r="L18" s="207"/>
      <c r="M18" s="207"/>
      <c r="N18" s="1"/>
      <c r="Q18" s="369"/>
    </row>
    <row r="19" spans="1:17" s="1" customFormat="1">
      <c r="A19" s="214">
        <v>4294</v>
      </c>
      <c r="B19" s="1" t="s">
        <v>80</v>
      </c>
      <c r="C19" s="45" t="s">
        <v>165</v>
      </c>
      <c r="D19" s="1" t="s">
        <v>102</v>
      </c>
      <c r="E19" s="1" t="s">
        <v>166</v>
      </c>
      <c r="F19" s="329">
        <v>25000000</v>
      </c>
      <c r="G19" s="329">
        <v>25000000</v>
      </c>
      <c r="H19" s="3">
        <v>41503</v>
      </c>
      <c r="I19" s="3">
        <f>H19+35</f>
        <v>41538</v>
      </c>
      <c r="J19" s="329">
        <v>25000000</v>
      </c>
      <c r="K19" s="264">
        <v>42734</v>
      </c>
      <c r="L19" s="304"/>
      <c r="M19" s="334">
        <f>J19-L19</f>
        <v>25000000</v>
      </c>
      <c r="N19" s="3"/>
      <c r="Q19" s="328"/>
    </row>
    <row r="20" spans="1:17" s="4" customFormat="1">
      <c r="A20" s="5"/>
      <c r="C20" s="54"/>
      <c r="D20" s="54"/>
      <c r="E20" s="54"/>
      <c r="F20" s="109"/>
      <c r="G20" s="96"/>
      <c r="H20" s="8"/>
      <c r="I20" s="8"/>
      <c r="J20" s="96"/>
      <c r="K20" s="8"/>
      <c r="L20" s="298"/>
      <c r="M20" s="334"/>
    </row>
    <row r="21" spans="1:17" ht="12.75" thickBot="1">
      <c r="A21" s="1"/>
      <c r="B21" s="1"/>
      <c r="C21" s="1"/>
      <c r="D21" s="1"/>
      <c r="E21" s="1"/>
      <c r="F21" s="252"/>
      <c r="G21" s="207"/>
      <c r="H21" s="207"/>
      <c r="I21" s="207"/>
      <c r="J21" s="325">
        <f>SUM(J19:J19)</f>
        <v>25000000</v>
      </c>
      <c r="K21" s="70"/>
      <c r="L21" s="325">
        <f>SUM(L19:L19)</f>
        <v>0</v>
      </c>
      <c r="M21" s="325">
        <f>SUM(M19:M19)</f>
        <v>25000000</v>
      </c>
      <c r="N21" s="1"/>
    </row>
    <row r="22" spans="1:17">
      <c r="A22" s="285" t="s">
        <v>16</v>
      </c>
      <c r="B22" s="1"/>
      <c r="C22" s="1"/>
      <c r="D22" s="1"/>
      <c r="E22" s="1"/>
      <c r="F22" s="252"/>
      <c r="G22" s="207"/>
      <c r="H22" s="207"/>
      <c r="I22" s="207"/>
      <c r="J22" s="207"/>
      <c r="K22" s="207"/>
      <c r="L22" s="207"/>
      <c r="M22" s="207"/>
      <c r="N22" s="1"/>
    </row>
    <row r="23" spans="1:17" s="1" customFormat="1">
      <c r="A23" s="14">
        <v>4310</v>
      </c>
      <c r="B23" s="1" t="s">
        <v>80</v>
      </c>
      <c r="C23" s="45" t="s">
        <v>170</v>
      </c>
      <c r="D23" s="1" t="s">
        <v>168</v>
      </c>
      <c r="E23" s="1" t="s">
        <v>152</v>
      </c>
      <c r="F23" s="329">
        <v>50000000</v>
      </c>
      <c r="G23" s="329">
        <v>50000000</v>
      </c>
      <c r="H23" s="3">
        <v>41529</v>
      </c>
      <c r="I23" s="3">
        <f>H23+35</f>
        <v>41564</v>
      </c>
      <c r="J23" s="304">
        <v>30032428.350000001</v>
      </c>
      <c r="K23" s="264">
        <v>42734</v>
      </c>
      <c r="L23" s="304">
        <v>30032428.350000001</v>
      </c>
      <c r="M23" s="304">
        <f>J23-L23</f>
        <v>0</v>
      </c>
      <c r="N23" s="3"/>
    </row>
    <row r="24" spans="1:17" s="1" customFormat="1">
      <c r="A24" s="14">
        <v>4326</v>
      </c>
      <c r="B24" s="1" t="s">
        <v>80</v>
      </c>
      <c r="C24" s="45" t="s">
        <v>90</v>
      </c>
      <c r="D24" s="1" t="s">
        <v>363</v>
      </c>
      <c r="E24" s="1" t="s">
        <v>178</v>
      </c>
      <c r="F24" s="329">
        <v>49749350</v>
      </c>
      <c r="G24" s="97">
        <v>29914747.870000124</v>
      </c>
      <c r="H24" s="3">
        <v>41592</v>
      </c>
      <c r="I24" s="3">
        <f>H24+35</f>
        <v>41627</v>
      </c>
      <c r="J24" s="97">
        <v>29914747.870000124</v>
      </c>
      <c r="K24" s="264">
        <v>42734</v>
      </c>
      <c r="L24" s="304"/>
      <c r="M24" s="304">
        <f>J24-L24</f>
        <v>29914747.870000124</v>
      </c>
      <c r="N24" s="3"/>
    </row>
    <row r="25" spans="1:17">
      <c r="A25" s="1"/>
      <c r="B25" s="1"/>
      <c r="C25" s="1"/>
      <c r="D25" s="1"/>
      <c r="E25" s="1"/>
      <c r="F25" s="252"/>
      <c r="G25" s="207"/>
      <c r="H25" s="207"/>
      <c r="I25" s="207"/>
      <c r="J25" s="207"/>
      <c r="K25" s="207"/>
      <c r="L25" s="207"/>
      <c r="M25" s="207"/>
      <c r="N25" s="1"/>
    </row>
    <row r="26" spans="1:17">
      <c r="A26" s="1"/>
      <c r="B26" s="1"/>
      <c r="C26" s="1"/>
      <c r="D26" s="1"/>
      <c r="E26" s="1"/>
      <c r="F26" s="252"/>
      <c r="G26" s="207"/>
      <c r="H26" s="207"/>
      <c r="I26" s="207"/>
      <c r="J26" s="325">
        <f>SUM(J23:J25)</f>
        <v>59947176.220000125</v>
      </c>
      <c r="K26" s="70"/>
      <c r="L26" s="325">
        <f>SUM(L23:L25)</f>
        <v>30032428.350000001</v>
      </c>
      <c r="M26" s="325">
        <f>SUM(M23:M25)</f>
        <v>29914747.870000124</v>
      </c>
      <c r="N26" s="1"/>
    </row>
    <row r="27" spans="1:17">
      <c r="A27" s="1"/>
      <c r="B27" s="1"/>
      <c r="C27" s="1"/>
      <c r="D27" s="1"/>
      <c r="E27" s="1"/>
      <c r="F27" s="252"/>
      <c r="G27" s="264"/>
      <c r="H27" s="207"/>
      <c r="I27" s="207"/>
      <c r="J27" s="207"/>
      <c r="K27" s="207"/>
      <c r="L27" s="207"/>
      <c r="M27" s="207"/>
      <c r="N27" s="1"/>
    </row>
    <row r="28" spans="1:17">
      <c r="A28" s="1"/>
      <c r="B28" s="1"/>
      <c r="C28" s="1"/>
      <c r="D28" s="1"/>
      <c r="E28" s="1"/>
      <c r="F28" s="252"/>
      <c r="G28" s="104"/>
      <c r="H28" s="264"/>
      <c r="I28" s="207"/>
      <c r="J28" s="207"/>
      <c r="K28" s="207"/>
      <c r="L28" s="207"/>
      <c r="M28" s="207"/>
      <c r="N28" s="1"/>
    </row>
    <row r="29" spans="1:17">
      <c r="A29" s="1"/>
      <c r="B29" s="1"/>
      <c r="C29" s="1"/>
      <c r="D29" s="1"/>
      <c r="E29" s="1"/>
      <c r="F29" s="252"/>
      <c r="G29" s="207"/>
      <c r="H29" s="207"/>
      <c r="I29" s="207"/>
      <c r="J29" s="207"/>
      <c r="K29" s="207"/>
      <c r="L29" s="207"/>
      <c r="M29" s="207"/>
      <c r="N29" s="1"/>
    </row>
    <row r="30" spans="1:17">
      <c r="A30" s="1"/>
      <c r="B30" s="1"/>
      <c r="C30" s="1"/>
      <c r="D30" s="1"/>
      <c r="E30" s="1"/>
      <c r="F30" s="252"/>
      <c r="G30" s="207"/>
      <c r="H30" s="207"/>
      <c r="I30" s="207"/>
      <c r="J30" s="207"/>
      <c r="K30" s="207"/>
      <c r="L30" s="207"/>
      <c r="M30" s="207"/>
      <c r="N30" s="1"/>
    </row>
    <row r="31" spans="1:17">
      <c r="A31" s="1"/>
      <c r="B31" s="1"/>
      <c r="C31" s="1"/>
      <c r="D31" s="1"/>
      <c r="E31" s="1"/>
      <c r="F31" s="252"/>
      <c r="G31" s="207"/>
      <c r="H31" s="207"/>
      <c r="I31" s="207"/>
      <c r="J31" s="207"/>
      <c r="K31" s="207"/>
      <c r="L31" s="207"/>
      <c r="M31" s="207"/>
      <c r="N31" s="1"/>
    </row>
    <row r="32" spans="1:17">
      <c r="A32" s="1"/>
      <c r="B32" s="1"/>
      <c r="C32" s="1"/>
      <c r="D32" s="1"/>
      <c r="E32" s="1"/>
      <c r="F32" s="252"/>
      <c r="G32" s="207"/>
      <c r="H32" s="207"/>
      <c r="I32" s="207"/>
      <c r="J32" s="79">
        <f>SUM(G12+J21+J26)</f>
        <v>185037484.27000013</v>
      </c>
      <c r="K32" s="207"/>
      <c r="L32" s="207"/>
      <c r="M32" s="325">
        <f>M26+M21+M12</f>
        <v>82005055.920000136</v>
      </c>
      <c r="N32" s="1"/>
    </row>
    <row r="33" spans="1:14">
      <c r="A33" s="1"/>
      <c r="B33" s="1"/>
      <c r="C33" s="1"/>
      <c r="D33" s="1"/>
      <c r="E33" s="1"/>
      <c r="F33" s="252"/>
      <c r="G33" s="207"/>
      <c r="H33" s="207"/>
      <c r="I33" s="207"/>
      <c r="J33" s="207"/>
      <c r="K33" s="207"/>
      <c r="L33" s="207"/>
      <c r="M33" s="207"/>
      <c r="N33" s="1"/>
    </row>
    <row r="34" spans="1:14">
      <c r="A34" s="1"/>
      <c r="B34" s="1"/>
      <c r="C34" s="1"/>
      <c r="D34" s="1"/>
      <c r="E34" s="1"/>
      <c r="F34" s="252"/>
      <c r="G34" s="207"/>
      <c r="H34" s="207"/>
      <c r="I34" s="207"/>
      <c r="J34" s="207"/>
      <c r="K34" s="207"/>
      <c r="L34" s="207"/>
      <c r="M34" s="207"/>
      <c r="N34" s="1"/>
    </row>
    <row r="35" spans="1:14">
      <c r="A35" s="1"/>
      <c r="B35" s="1"/>
      <c r="C35" s="1"/>
      <c r="D35" s="1"/>
      <c r="E35" s="1"/>
      <c r="F35" s="252"/>
      <c r="G35" s="207"/>
      <c r="H35" s="207"/>
      <c r="I35" s="207"/>
      <c r="J35" s="207"/>
      <c r="K35" s="207"/>
      <c r="L35" s="207"/>
      <c r="M35" s="207"/>
      <c r="N35" s="1"/>
    </row>
    <row r="36" spans="1:14">
      <c r="A36" s="1"/>
      <c r="B36" s="1"/>
      <c r="C36" s="1"/>
      <c r="D36" s="1"/>
      <c r="E36" s="1"/>
      <c r="F36" s="252"/>
      <c r="G36" s="207"/>
      <c r="H36" s="207"/>
      <c r="I36" s="207"/>
      <c r="J36" s="207"/>
      <c r="K36" s="207"/>
      <c r="L36" s="207"/>
      <c r="M36" s="207"/>
      <c r="N36" s="1"/>
    </row>
    <row r="37" spans="1:14">
      <c r="A37" s="1"/>
      <c r="B37" s="1"/>
      <c r="C37" s="1"/>
      <c r="D37" s="1"/>
      <c r="E37" s="1"/>
      <c r="F37" s="252"/>
      <c r="G37" s="207"/>
      <c r="H37" s="207"/>
      <c r="I37" s="207"/>
      <c r="J37" s="207"/>
      <c r="K37" s="207"/>
      <c r="L37" s="207"/>
      <c r="M37" s="207"/>
      <c r="N37" s="1"/>
    </row>
    <row r="38" spans="1:14">
      <c r="A38" s="1"/>
      <c r="B38" s="1"/>
      <c r="C38" s="1"/>
      <c r="D38" s="1"/>
      <c r="E38" s="1"/>
      <c r="F38" s="252"/>
      <c r="G38" s="207"/>
      <c r="H38" s="207"/>
      <c r="I38" s="207"/>
      <c r="J38" s="207"/>
      <c r="K38" s="207"/>
      <c r="L38" s="207"/>
      <c r="M38" s="207"/>
      <c r="N38" s="1"/>
    </row>
    <row r="39" spans="1:14">
      <c r="A39" s="1"/>
      <c r="B39" s="1"/>
      <c r="C39" s="1"/>
      <c r="D39" s="1"/>
      <c r="E39" s="1"/>
      <c r="F39" s="252"/>
      <c r="G39" s="207"/>
      <c r="H39" s="207"/>
      <c r="I39" s="207"/>
      <c r="J39" s="207"/>
      <c r="K39" s="207"/>
      <c r="L39" s="207"/>
      <c r="M39" s="207"/>
      <c r="N39" s="1"/>
    </row>
    <row r="40" spans="1:14">
      <c r="A40" s="1"/>
      <c r="B40" s="1"/>
      <c r="C40" s="1"/>
      <c r="D40" s="1"/>
      <c r="E40" s="1"/>
      <c r="F40" s="252"/>
      <c r="G40" s="207"/>
      <c r="H40" s="207"/>
      <c r="I40" s="207"/>
      <c r="J40" s="207"/>
      <c r="K40" s="207"/>
      <c r="L40" s="207"/>
      <c r="M40" s="207"/>
      <c r="N40" s="1"/>
    </row>
    <row r="41" spans="1:14">
      <c r="A41" s="1"/>
      <c r="B41" s="1"/>
      <c r="C41" s="1"/>
      <c r="D41" s="1"/>
      <c r="E41" s="1"/>
      <c r="F41" s="252"/>
      <c r="G41" s="207"/>
      <c r="H41" s="207"/>
      <c r="I41" s="207"/>
      <c r="J41" s="207"/>
      <c r="K41" s="207"/>
      <c r="L41" s="207"/>
      <c r="M41" s="207"/>
      <c r="N41" s="1"/>
    </row>
    <row r="42" spans="1:14">
      <c r="A42" s="1"/>
      <c r="B42" s="1"/>
      <c r="C42" s="1"/>
      <c r="D42" s="1"/>
      <c r="E42" s="1"/>
      <c r="F42" s="252"/>
      <c r="G42" s="207"/>
      <c r="H42" s="207"/>
      <c r="I42" s="207"/>
      <c r="J42" s="207"/>
      <c r="K42" s="207"/>
      <c r="L42" s="207"/>
      <c r="M42" s="207"/>
      <c r="N42" s="1"/>
    </row>
    <row r="43" spans="1:14">
      <c r="A43" s="1"/>
      <c r="B43" s="1"/>
      <c r="C43" s="1"/>
      <c r="D43" s="1"/>
      <c r="E43" s="1"/>
      <c r="F43" s="252"/>
      <c r="G43" s="207"/>
      <c r="H43" s="207"/>
      <c r="I43" s="207"/>
      <c r="J43" s="207"/>
      <c r="K43" s="207"/>
      <c r="L43" s="207"/>
      <c r="M43" s="207"/>
      <c r="N43" s="1"/>
    </row>
    <row r="44" spans="1:14">
      <c r="A44" s="1"/>
      <c r="B44" s="1"/>
      <c r="C44" s="1"/>
      <c r="D44" s="1"/>
      <c r="E44" s="1"/>
      <c r="F44" s="252"/>
      <c r="G44" s="207"/>
      <c r="H44" s="207"/>
      <c r="I44" s="207"/>
      <c r="J44" s="207"/>
      <c r="K44" s="207"/>
      <c r="L44" s="207"/>
      <c r="M44" s="207"/>
      <c r="N44" s="1"/>
    </row>
    <row r="45" spans="1:14">
      <c r="A45" s="1"/>
      <c r="B45" s="1"/>
      <c r="C45" s="1"/>
      <c r="D45" s="1"/>
      <c r="E45" s="1"/>
      <c r="F45" s="252"/>
      <c r="G45" s="207"/>
      <c r="H45" s="207"/>
      <c r="I45" s="207"/>
      <c r="J45" s="207"/>
      <c r="K45" s="207"/>
      <c r="L45" s="207"/>
      <c r="M45" s="207"/>
      <c r="N45" s="1"/>
    </row>
    <row r="46" spans="1:14">
      <c r="A46" s="1"/>
      <c r="B46" s="1"/>
      <c r="C46" s="1"/>
      <c r="D46" s="1"/>
      <c r="E46" s="1"/>
      <c r="F46" s="252"/>
      <c r="G46" s="207"/>
      <c r="H46" s="207"/>
      <c r="I46" s="207"/>
      <c r="J46" s="207"/>
      <c r="K46" s="207"/>
      <c r="L46" s="207"/>
      <c r="M46" s="207"/>
      <c r="N46" s="1"/>
    </row>
    <row r="47" spans="1:14">
      <c r="A47" s="1"/>
      <c r="B47" s="1"/>
      <c r="C47" s="1"/>
      <c r="D47" s="1"/>
      <c r="E47" s="1"/>
      <c r="F47" s="252"/>
      <c r="G47" s="207"/>
      <c r="H47" s="207"/>
      <c r="I47" s="207"/>
      <c r="J47" s="207"/>
      <c r="K47" s="207"/>
      <c r="L47" s="207"/>
      <c r="M47" s="207"/>
      <c r="N47" s="1"/>
    </row>
    <row r="48" spans="1:14">
      <c r="A48" s="1"/>
      <c r="B48" s="1"/>
      <c r="C48" s="1"/>
      <c r="D48" s="1"/>
      <c r="E48" s="1"/>
      <c r="F48" s="252"/>
      <c r="G48" s="207"/>
      <c r="H48" s="207"/>
      <c r="I48" s="207"/>
      <c r="J48" s="207"/>
      <c r="K48" s="207"/>
      <c r="L48" s="207"/>
      <c r="M48" s="207"/>
      <c r="N48" s="1"/>
    </row>
    <row r="49" spans="1:14">
      <c r="A49" s="1"/>
      <c r="B49" s="1"/>
      <c r="C49" s="1"/>
      <c r="D49" s="1"/>
      <c r="E49" s="1"/>
      <c r="F49" s="252"/>
      <c r="G49" s="207"/>
      <c r="H49" s="207"/>
      <c r="I49" s="207"/>
      <c r="J49" s="207"/>
      <c r="K49" s="207"/>
      <c r="L49" s="207"/>
      <c r="M49" s="207"/>
      <c r="N49" s="1"/>
    </row>
    <row r="50" spans="1:14">
      <c r="A50" s="1"/>
      <c r="B50" s="1"/>
      <c r="C50" s="1"/>
      <c r="D50" s="1"/>
      <c r="E50" s="1"/>
      <c r="F50" s="252"/>
      <c r="G50" s="207"/>
      <c r="H50" s="207"/>
      <c r="I50" s="207"/>
      <c r="J50" s="207"/>
      <c r="K50" s="207"/>
      <c r="L50" s="207"/>
      <c r="M50" s="207"/>
      <c r="N50" s="1"/>
    </row>
    <row r="51" spans="1:14">
      <c r="A51" s="1"/>
      <c r="B51" s="1"/>
      <c r="C51" s="1"/>
      <c r="D51" s="1"/>
      <c r="E51" s="1"/>
      <c r="F51" s="252"/>
      <c r="G51" s="207"/>
      <c r="H51" s="207"/>
      <c r="I51" s="207"/>
      <c r="J51" s="207"/>
      <c r="K51" s="207"/>
      <c r="L51" s="207"/>
      <c r="M51" s="207"/>
      <c r="N51" s="1"/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60"/>
  <sheetViews>
    <sheetView workbookViewId="0">
      <selection activeCell="L32" sqref="L32"/>
    </sheetView>
  </sheetViews>
  <sheetFormatPr defaultRowHeight="12"/>
  <cols>
    <col min="1" max="1" width="9.5703125" customWidth="1"/>
    <col min="2" max="2" width="12.140625" bestFit="1" customWidth="1"/>
    <col min="3" max="3" width="46.42578125" bestFit="1" customWidth="1"/>
    <col min="4" max="4" width="26.42578125" customWidth="1"/>
    <col min="5" max="5" width="12.140625" bestFit="1" customWidth="1"/>
    <col min="6" max="6" width="16.42578125" style="324" bestFit="1" customWidth="1"/>
    <col min="7" max="7" width="14.42578125" style="319" bestFit="1" customWidth="1"/>
    <col min="8" max="8" width="18.140625" style="319" bestFit="1" customWidth="1"/>
    <col min="9" max="9" width="11.5703125" style="319" bestFit="1" customWidth="1"/>
    <col min="10" max="10" width="14.7109375" style="319" bestFit="1" customWidth="1"/>
    <col min="11" max="11" width="11.5703125" style="319" bestFit="1" customWidth="1"/>
    <col min="12" max="12" width="17" style="319" bestFit="1" customWidth="1"/>
    <col min="13" max="13" width="21.5703125" style="319" bestFit="1" customWidth="1"/>
    <col min="14" max="14" width="17" customWidth="1"/>
    <col min="15" max="15" width="16.42578125" bestFit="1" customWidth="1"/>
    <col min="16" max="16" width="10.7109375" bestFit="1" customWidth="1"/>
  </cols>
  <sheetData>
    <row r="1" spans="1:15" ht="12.75">
      <c r="A1" s="281" t="s">
        <v>186</v>
      </c>
      <c r="B1" s="500"/>
      <c r="C1" s="283"/>
      <c r="D1" s="284"/>
      <c r="E1" s="286"/>
      <c r="F1" s="309"/>
      <c r="G1" s="309"/>
      <c r="H1" s="310"/>
      <c r="I1" s="310"/>
      <c r="J1" s="311"/>
      <c r="K1" s="310"/>
      <c r="L1" s="309"/>
      <c r="M1" s="310"/>
      <c r="N1" s="330"/>
    </row>
    <row r="2" spans="1:15" ht="12.75">
      <c r="A2" s="271" t="s">
        <v>34</v>
      </c>
      <c r="B2" s="272" t="s">
        <v>39</v>
      </c>
      <c r="C2" s="177" t="s">
        <v>32</v>
      </c>
      <c r="D2" s="273" t="s">
        <v>51</v>
      </c>
      <c r="E2" s="273" t="s">
        <v>47</v>
      </c>
      <c r="F2" s="312" t="s">
        <v>92</v>
      </c>
      <c r="G2" s="312" t="s">
        <v>93</v>
      </c>
      <c r="H2" s="313" t="s">
        <v>104</v>
      </c>
      <c r="I2" s="313" t="s">
        <v>94</v>
      </c>
      <c r="J2" s="314" t="s">
        <v>95</v>
      </c>
      <c r="K2" s="313"/>
      <c r="L2" s="312" t="s">
        <v>96</v>
      </c>
      <c r="M2" s="315" t="s">
        <v>97</v>
      </c>
      <c r="N2" s="331" t="s">
        <v>23</v>
      </c>
    </row>
    <row r="3" spans="1:15" ht="12.75">
      <c r="A3" s="271" t="s">
        <v>50</v>
      </c>
      <c r="B3" s="274"/>
      <c r="C3" s="177"/>
      <c r="D3" s="273"/>
      <c r="E3" s="273"/>
      <c r="F3" s="312" t="s">
        <v>57</v>
      </c>
      <c r="G3" s="312" t="s">
        <v>57</v>
      </c>
      <c r="H3" s="313" t="s">
        <v>9</v>
      </c>
      <c r="I3" s="313" t="s">
        <v>18</v>
      </c>
      <c r="J3" s="314" t="s">
        <v>57</v>
      </c>
      <c r="K3" s="313" t="s">
        <v>18</v>
      </c>
      <c r="L3" s="312" t="s">
        <v>57</v>
      </c>
      <c r="M3" s="315" t="s">
        <v>98</v>
      </c>
      <c r="N3" s="331" t="s">
        <v>5</v>
      </c>
    </row>
    <row r="4" spans="1:15" ht="13.5" thickBot="1">
      <c r="A4" s="275" t="s">
        <v>17</v>
      </c>
      <c r="B4" s="276"/>
      <c r="C4" s="277"/>
      <c r="D4" s="278"/>
      <c r="E4" s="278"/>
      <c r="F4" s="316"/>
      <c r="G4" s="316"/>
      <c r="H4" s="317"/>
      <c r="I4" s="317"/>
      <c r="J4" s="318"/>
      <c r="K4" s="317"/>
      <c r="L4" s="316"/>
      <c r="M4" s="316"/>
      <c r="N4" s="332" t="s">
        <v>9</v>
      </c>
    </row>
    <row r="5" spans="1:15">
      <c r="F5" s="319"/>
      <c r="H5" s="207"/>
      <c r="I5" s="207"/>
      <c r="J5" s="207"/>
      <c r="K5" s="207"/>
      <c r="L5" s="207"/>
      <c r="M5" s="207"/>
      <c r="N5" s="1"/>
    </row>
    <row r="6" spans="1:15">
      <c r="A6" s="32" t="s">
        <v>99</v>
      </c>
      <c r="F6" s="320"/>
      <c r="G6" s="320"/>
      <c r="H6" s="207"/>
      <c r="I6" s="207"/>
      <c r="J6" s="207"/>
      <c r="K6" s="207"/>
      <c r="L6" s="207"/>
      <c r="M6" s="207"/>
      <c r="N6" s="1"/>
    </row>
    <row r="7" spans="1:15">
      <c r="A7" s="207" t="s">
        <v>187</v>
      </c>
      <c r="B7" s="1" t="s">
        <v>86</v>
      </c>
      <c r="C7" s="1" t="s">
        <v>158</v>
      </c>
      <c r="D7" s="1" t="s">
        <v>188</v>
      </c>
      <c r="E7" s="1" t="s">
        <v>85</v>
      </c>
      <c r="F7" s="83">
        <v>41000000</v>
      </c>
      <c r="G7" s="83">
        <v>41000000</v>
      </c>
      <c r="H7" s="264">
        <v>42007</v>
      </c>
      <c r="I7" s="264">
        <v>42019</v>
      </c>
      <c r="J7" s="83">
        <v>6500000</v>
      </c>
      <c r="K7" s="264">
        <v>43099</v>
      </c>
      <c r="L7" s="371">
        <v>6500000</v>
      </c>
      <c r="M7" s="252">
        <f>J7-L7</f>
        <v>0</v>
      </c>
      <c r="N7" s="3">
        <v>42542</v>
      </c>
      <c r="O7">
        <v>4560</v>
      </c>
    </row>
    <row r="8" spans="1:15" s="326" customFormat="1">
      <c r="A8" s="70" t="s">
        <v>190</v>
      </c>
      <c r="B8" s="4" t="s">
        <v>80</v>
      </c>
      <c r="C8" s="4" t="s">
        <v>106</v>
      </c>
      <c r="D8" s="4" t="s">
        <v>191</v>
      </c>
      <c r="E8" s="4" t="s">
        <v>83</v>
      </c>
      <c r="F8" s="77">
        <v>35000000</v>
      </c>
      <c r="G8" s="77">
        <v>35000000</v>
      </c>
      <c r="H8" s="301">
        <v>42007</v>
      </c>
      <c r="I8" s="301">
        <v>42019</v>
      </c>
      <c r="J8" s="77">
        <v>35000000</v>
      </c>
      <c r="K8" s="301">
        <v>43099</v>
      </c>
      <c r="L8" s="84">
        <v>0</v>
      </c>
      <c r="M8" s="128">
        <f>J8-L8</f>
        <v>35000000</v>
      </c>
      <c r="N8" s="4"/>
    </row>
    <row r="9" spans="1:15">
      <c r="A9" s="207" t="s">
        <v>193</v>
      </c>
      <c r="B9" s="1" t="s">
        <v>86</v>
      </c>
      <c r="C9" s="1" t="s">
        <v>150</v>
      </c>
      <c r="D9" s="1" t="s">
        <v>194</v>
      </c>
      <c r="E9" s="1" t="s">
        <v>91</v>
      </c>
      <c r="F9" s="83">
        <v>50000000</v>
      </c>
      <c r="G9" s="83">
        <v>50000000</v>
      </c>
      <c r="H9" s="264">
        <v>42007</v>
      </c>
      <c r="I9" s="264">
        <v>42019</v>
      </c>
      <c r="J9" s="252">
        <v>5115000</v>
      </c>
      <c r="K9" s="264">
        <v>43099</v>
      </c>
      <c r="L9" s="84">
        <v>5115000</v>
      </c>
      <c r="M9" s="252">
        <f>J9-L9</f>
        <v>0</v>
      </c>
      <c r="N9" s="3">
        <v>42530</v>
      </c>
      <c r="O9">
        <v>4583</v>
      </c>
    </row>
    <row r="10" spans="1:15" s="326" customFormat="1">
      <c r="A10" s="70" t="s">
        <v>195</v>
      </c>
      <c r="B10" s="4" t="s">
        <v>80</v>
      </c>
      <c r="C10" s="4" t="s">
        <v>150</v>
      </c>
      <c r="D10" s="4" t="s">
        <v>197</v>
      </c>
      <c r="E10" s="4" t="s">
        <v>180</v>
      </c>
      <c r="F10" s="77">
        <v>45000000</v>
      </c>
      <c r="G10" s="77">
        <v>45000000</v>
      </c>
      <c r="H10" s="301">
        <v>42007</v>
      </c>
      <c r="I10" s="301">
        <v>42019</v>
      </c>
      <c r="J10" s="77">
        <v>45000000</v>
      </c>
      <c r="K10" s="301">
        <v>43099</v>
      </c>
      <c r="L10" s="84">
        <v>0</v>
      </c>
      <c r="M10" s="128">
        <f>J10-L10</f>
        <v>45000000</v>
      </c>
      <c r="N10" s="4"/>
    </row>
    <row r="11" spans="1:15" s="326" customFormat="1">
      <c r="A11" s="70" t="s">
        <v>196</v>
      </c>
      <c r="B11" s="4" t="s">
        <v>80</v>
      </c>
      <c r="C11" s="4" t="s">
        <v>150</v>
      </c>
      <c r="D11" s="4" t="s">
        <v>198</v>
      </c>
      <c r="E11" s="4" t="s">
        <v>199</v>
      </c>
      <c r="F11" s="77">
        <v>50000000</v>
      </c>
      <c r="G11" s="77">
        <v>50000000</v>
      </c>
      <c r="H11" s="301">
        <v>42007</v>
      </c>
      <c r="I11" s="301">
        <v>42019</v>
      </c>
      <c r="J11" s="77">
        <v>50000000</v>
      </c>
      <c r="K11" s="301">
        <v>43099</v>
      </c>
      <c r="L11" s="84">
        <v>0</v>
      </c>
      <c r="M11" s="128">
        <f>J11-L11</f>
        <v>50000000</v>
      </c>
      <c r="N11" s="4"/>
    </row>
    <row r="12" spans="1:15" s="326" customFormat="1">
      <c r="A12" s="290"/>
      <c r="B12" s="4"/>
      <c r="C12" s="4"/>
      <c r="D12" s="4"/>
      <c r="E12" s="4"/>
      <c r="F12" s="77"/>
      <c r="G12" s="77"/>
      <c r="H12" s="301"/>
      <c r="I12" s="301"/>
      <c r="J12" s="77"/>
      <c r="K12" s="301"/>
      <c r="L12" s="70"/>
      <c r="M12" s="128"/>
      <c r="N12" s="4"/>
    </row>
    <row r="13" spans="1:15">
      <c r="A13" s="1"/>
      <c r="B13" s="1"/>
      <c r="C13" s="1"/>
      <c r="D13" s="1"/>
      <c r="E13" s="1"/>
      <c r="F13" s="83"/>
      <c r="G13" s="79"/>
      <c r="H13" s="207"/>
      <c r="I13" s="207"/>
      <c r="J13" s="207"/>
      <c r="K13" s="207"/>
      <c r="L13" s="207"/>
      <c r="M13" s="207"/>
      <c r="N13" s="1"/>
    </row>
    <row r="14" spans="1:15">
      <c r="A14" s="1"/>
      <c r="B14" s="1"/>
      <c r="C14" s="1"/>
      <c r="D14" s="1"/>
      <c r="E14" s="1"/>
      <c r="F14" s="113">
        <f>SUM(F5:F13)</f>
        <v>221000000</v>
      </c>
      <c r="G14" s="113"/>
      <c r="H14" s="207"/>
      <c r="I14" s="207"/>
      <c r="J14" s="113">
        <f>SUM(J5:J13)</f>
        <v>141615000</v>
      </c>
      <c r="K14" s="207"/>
      <c r="L14" s="113">
        <f>SUM(L5:L13)</f>
        <v>11615000</v>
      </c>
      <c r="M14" s="113">
        <f>SUM(M5:M13)</f>
        <v>130000000</v>
      </c>
      <c r="N14" s="1"/>
    </row>
    <row r="15" spans="1:15">
      <c r="A15" s="1"/>
      <c r="B15" s="1"/>
      <c r="C15" s="1"/>
      <c r="D15" s="1"/>
      <c r="E15" s="1"/>
      <c r="F15" s="79"/>
      <c r="G15" s="79"/>
      <c r="H15" s="207"/>
      <c r="I15" s="207"/>
      <c r="J15" s="207"/>
      <c r="K15" s="207"/>
      <c r="L15" s="79"/>
      <c r="M15" s="79"/>
      <c r="N15" s="1"/>
    </row>
    <row r="16" spans="1:15" ht="12.75" thickBot="1">
      <c r="A16" s="1"/>
      <c r="B16" s="1"/>
      <c r="C16" s="1"/>
      <c r="D16" s="1"/>
      <c r="E16" s="1"/>
      <c r="F16" s="79"/>
      <c r="G16" s="79"/>
      <c r="H16" s="207"/>
      <c r="I16" s="207"/>
      <c r="J16" s="207"/>
      <c r="K16" s="207"/>
      <c r="L16" s="79"/>
      <c r="M16" s="79"/>
      <c r="N16" s="1"/>
    </row>
    <row r="17" spans="1:20" ht="12.75">
      <c r="A17" s="281" t="s">
        <v>189</v>
      </c>
      <c r="B17" s="204"/>
      <c r="C17" s="204"/>
      <c r="D17" s="204"/>
      <c r="E17" s="204"/>
      <c r="F17" s="321"/>
      <c r="G17" s="321"/>
      <c r="H17" s="321"/>
      <c r="I17" s="321"/>
      <c r="J17" s="321"/>
      <c r="K17" s="321"/>
      <c r="L17" s="321"/>
      <c r="M17" s="321"/>
      <c r="N17" s="333"/>
    </row>
    <row r="18" spans="1:20" ht="12.75">
      <c r="A18" s="271" t="s">
        <v>34</v>
      </c>
      <c r="B18" s="272" t="s">
        <v>39</v>
      </c>
      <c r="C18" s="177" t="s">
        <v>32</v>
      </c>
      <c r="D18" s="280" t="s">
        <v>51</v>
      </c>
      <c r="E18" s="280" t="s">
        <v>47</v>
      </c>
      <c r="F18" s="312" t="s">
        <v>92</v>
      </c>
      <c r="G18" s="312" t="s">
        <v>56</v>
      </c>
      <c r="H18" s="313"/>
      <c r="I18" s="313" t="s">
        <v>36</v>
      </c>
      <c r="J18" s="314" t="s">
        <v>95</v>
      </c>
      <c r="K18" s="313"/>
      <c r="L18" s="312" t="s">
        <v>100</v>
      </c>
      <c r="M18" s="315" t="s">
        <v>97</v>
      </c>
      <c r="N18" s="331" t="s">
        <v>23</v>
      </c>
    </row>
    <row r="19" spans="1:20" ht="12.75">
      <c r="A19" s="271" t="s">
        <v>50</v>
      </c>
      <c r="B19" s="274"/>
      <c r="C19" s="177"/>
      <c r="D19" s="280"/>
      <c r="E19" s="280"/>
      <c r="F19" s="312" t="s">
        <v>57</v>
      </c>
      <c r="G19" s="312" t="s">
        <v>57</v>
      </c>
      <c r="H19" s="313" t="s">
        <v>9</v>
      </c>
      <c r="I19" s="313" t="s">
        <v>18</v>
      </c>
      <c r="J19" s="314" t="s">
        <v>57</v>
      </c>
      <c r="K19" s="313" t="s">
        <v>18</v>
      </c>
      <c r="L19" s="312" t="s">
        <v>57</v>
      </c>
      <c r="M19" s="315" t="s">
        <v>98</v>
      </c>
      <c r="N19" s="331" t="s">
        <v>5</v>
      </c>
    </row>
    <row r="20" spans="1:20" ht="13.5" thickBot="1">
      <c r="A20" s="275" t="s">
        <v>17</v>
      </c>
      <c r="B20" s="276"/>
      <c r="C20" s="277"/>
      <c r="D20" s="279"/>
      <c r="E20" s="279"/>
      <c r="F20" s="316"/>
      <c r="G20" s="316"/>
      <c r="H20" s="317"/>
      <c r="I20" s="317"/>
      <c r="J20" s="322"/>
      <c r="K20" s="317"/>
      <c r="L20" s="316"/>
      <c r="M20" s="323" t="s">
        <v>101</v>
      </c>
      <c r="N20" s="332" t="s">
        <v>9</v>
      </c>
    </row>
    <row r="21" spans="1:20">
      <c r="A21" s="285" t="s">
        <v>343</v>
      </c>
      <c r="B21" s="1"/>
      <c r="C21" s="1"/>
      <c r="D21" s="1"/>
      <c r="E21" s="1"/>
      <c r="F21" s="252"/>
      <c r="G21" s="207"/>
      <c r="H21" s="207"/>
      <c r="I21" s="207"/>
      <c r="J21" s="207"/>
      <c r="K21" s="207"/>
      <c r="L21" s="207"/>
      <c r="M21" s="207"/>
      <c r="N21" s="1"/>
    </row>
    <row r="22" spans="1:20" s="14" customFormat="1">
      <c r="A22" s="14">
        <v>4379</v>
      </c>
      <c r="B22" s="171" t="s">
        <v>80</v>
      </c>
      <c r="C22" s="250" t="s">
        <v>79</v>
      </c>
      <c r="D22" s="250" t="s">
        <v>163</v>
      </c>
      <c r="E22" s="250" t="s">
        <v>192</v>
      </c>
      <c r="F22" s="393">
        <v>177440518</v>
      </c>
      <c r="G22" s="393">
        <v>177440518</v>
      </c>
      <c r="H22" s="264">
        <v>41857</v>
      </c>
      <c r="I22" s="264">
        <f t="shared" ref="I22:I29" si="0">H22+35</f>
        <v>41892</v>
      </c>
      <c r="J22" s="393">
        <v>80574602.449999988</v>
      </c>
      <c r="K22" s="264">
        <v>43099</v>
      </c>
      <c r="L22" s="91">
        <v>80574602.449999988</v>
      </c>
      <c r="M22" s="305">
        <f t="shared" ref="M22:M29" si="1">J22-L22</f>
        <v>0</v>
      </c>
      <c r="N22" s="474">
        <v>42411</v>
      </c>
      <c r="O22" s="475">
        <v>4566</v>
      </c>
    </row>
    <row r="23" spans="1:20" s="14" customFormat="1">
      <c r="A23" s="14">
        <v>4380</v>
      </c>
      <c r="B23" s="171" t="s">
        <v>80</v>
      </c>
      <c r="C23" s="250" t="s">
        <v>79</v>
      </c>
      <c r="D23" s="250" t="s">
        <v>172</v>
      </c>
      <c r="E23" s="250" t="s">
        <v>192</v>
      </c>
      <c r="F23" s="365">
        <v>47559482</v>
      </c>
      <c r="G23" s="365">
        <v>47559482</v>
      </c>
      <c r="H23" s="264">
        <v>41857</v>
      </c>
      <c r="I23" s="264">
        <f t="shared" si="0"/>
        <v>41892</v>
      </c>
      <c r="J23" s="335">
        <v>47559482</v>
      </c>
      <c r="K23" s="264">
        <v>43099</v>
      </c>
      <c r="L23" s="84">
        <v>47559482</v>
      </c>
      <c r="M23" s="305">
        <f t="shared" si="1"/>
        <v>0</v>
      </c>
      <c r="N23" s="474">
        <v>42411</v>
      </c>
      <c r="O23" s="475">
        <v>4566</v>
      </c>
    </row>
    <row r="24" spans="1:20" s="1" customFormat="1">
      <c r="A24" s="14">
        <v>4405</v>
      </c>
      <c r="B24" s="171" t="s">
        <v>80</v>
      </c>
      <c r="C24" s="45" t="s">
        <v>79</v>
      </c>
      <c r="D24" s="1" t="s">
        <v>163</v>
      </c>
      <c r="E24" s="1" t="s">
        <v>192</v>
      </c>
      <c r="F24" s="305">
        <v>220000000</v>
      </c>
      <c r="G24" s="305">
        <v>220000000</v>
      </c>
      <c r="H24" s="3">
        <v>41865</v>
      </c>
      <c r="I24" s="3">
        <f t="shared" si="0"/>
        <v>41900</v>
      </c>
      <c r="J24" s="305">
        <v>220000000</v>
      </c>
      <c r="K24" s="264">
        <v>43099</v>
      </c>
      <c r="L24" s="84">
        <v>220000000</v>
      </c>
      <c r="M24" s="305">
        <f t="shared" si="1"/>
        <v>0</v>
      </c>
      <c r="N24" s="474">
        <v>42411</v>
      </c>
      <c r="O24" s="475">
        <v>4566</v>
      </c>
    </row>
    <row r="25" spans="1:20" s="1" customFormat="1">
      <c r="A25" s="14">
        <v>4414</v>
      </c>
      <c r="B25" s="171" t="s">
        <v>80</v>
      </c>
      <c r="C25" s="45" t="s">
        <v>105</v>
      </c>
      <c r="D25" s="1" t="s">
        <v>204</v>
      </c>
      <c r="F25" s="305">
        <v>74604596</v>
      </c>
      <c r="G25" s="305">
        <v>25000000</v>
      </c>
      <c r="H25" s="3">
        <v>41872</v>
      </c>
      <c r="I25" s="3">
        <f>H25+35</f>
        <v>41907</v>
      </c>
      <c r="J25" s="305">
        <v>25000000</v>
      </c>
      <c r="K25" s="264">
        <v>43099</v>
      </c>
      <c r="L25" s="84"/>
      <c r="M25" s="305">
        <f t="shared" si="1"/>
        <v>25000000</v>
      </c>
    </row>
    <row r="26" spans="1:20" s="1" customFormat="1">
      <c r="A26" s="14">
        <v>4415</v>
      </c>
      <c r="B26" s="171" t="s">
        <v>80</v>
      </c>
      <c r="C26" s="45" t="s">
        <v>81</v>
      </c>
      <c r="D26" s="1" t="s">
        <v>205</v>
      </c>
      <c r="E26" s="15"/>
      <c r="F26" s="305">
        <v>62500000</v>
      </c>
      <c r="G26" s="305">
        <v>25000000</v>
      </c>
      <c r="H26" s="3">
        <v>41872</v>
      </c>
      <c r="I26" s="3">
        <f>H26+35</f>
        <v>41907</v>
      </c>
      <c r="J26" s="305">
        <v>25000000</v>
      </c>
      <c r="K26" s="264">
        <v>43099</v>
      </c>
      <c r="L26" s="84"/>
      <c r="M26" s="305">
        <f t="shared" si="1"/>
        <v>25000000</v>
      </c>
      <c r="O26" s="297"/>
    </row>
    <row r="27" spans="1:20" s="1" customFormat="1">
      <c r="A27" s="14">
        <v>4416</v>
      </c>
      <c r="B27" s="171" t="s">
        <v>86</v>
      </c>
      <c r="C27" s="45" t="s">
        <v>206</v>
      </c>
      <c r="D27" s="1" t="s">
        <v>207</v>
      </c>
      <c r="F27" s="305">
        <v>41218873</v>
      </c>
      <c r="G27" s="305">
        <v>24999246</v>
      </c>
      <c r="H27" s="3">
        <v>41872</v>
      </c>
      <c r="I27" s="3">
        <f t="shared" si="0"/>
        <v>41907</v>
      </c>
      <c r="J27" s="305">
        <v>14999246.4745</v>
      </c>
      <c r="K27" s="264">
        <v>43099</v>
      </c>
      <c r="L27" s="305">
        <v>14999246.4745</v>
      </c>
      <c r="M27" s="305">
        <f t="shared" si="1"/>
        <v>0</v>
      </c>
      <c r="N27" s="379">
        <v>42584</v>
      </c>
      <c r="O27" s="1">
        <v>4637</v>
      </c>
    </row>
    <row r="28" spans="1:20" s="1" customFormat="1">
      <c r="A28" s="14">
        <v>4417</v>
      </c>
      <c r="B28" s="171" t="s">
        <v>80</v>
      </c>
      <c r="C28" s="45" t="s">
        <v>106</v>
      </c>
      <c r="D28" s="1" t="s">
        <v>208</v>
      </c>
      <c r="F28" s="305">
        <v>33355040</v>
      </c>
      <c r="G28" s="305">
        <v>33355040</v>
      </c>
      <c r="H28" s="3">
        <v>41872</v>
      </c>
      <c r="I28" s="3">
        <f>H28+35</f>
        <v>41907</v>
      </c>
      <c r="J28" s="305">
        <v>33355040</v>
      </c>
      <c r="K28" s="264">
        <v>43099</v>
      </c>
      <c r="L28" s="84"/>
      <c r="M28" s="305">
        <f t="shared" si="1"/>
        <v>33355040</v>
      </c>
    </row>
    <row r="29" spans="1:20" s="1" customFormat="1">
      <c r="A29" s="14">
        <v>4424</v>
      </c>
      <c r="B29" s="171" t="s">
        <v>80</v>
      </c>
      <c r="C29" s="45" t="s">
        <v>150</v>
      </c>
      <c r="D29" s="1" t="s">
        <v>212</v>
      </c>
      <c r="F29" s="305">
        <v>100000000</v>
      </c>
      <c r="G29" s="305">
        <v>25000000</v>
      </c>
      <c r="H29" s="3">
        <v>41901</v>
      </c>
      <c r="I29" s="3">
        <f t="shared" si="0"/>
        <v>41936</v>
      </c>
      <c r="J29" s="305">
        <v>25000000</v>
      </c>
      <c r="K29" s="264">
        <v>43099</v>
      </c>
      <c r="L29" s="84"/>
      <c r="M29" s="305">
        <f t="shared" si="1"/>
        <v>25000000</v>
      </c>
    </row>
    <row r="30" spans="1:20" s="1" customFormat="1">
      <c r="A30" s="5"/>
      <c r="B30" s="4"/>
      <c r="C30" s="54"/>
      <c r="D30" s="4"/>
      <c r="E30" s="4"/>
      <c r="F30" s="336"/>
      <c r="G30" s="345"/>
      <c r="H30" s="8"/>
      <c r="I30" s="8"/>
      <c r="J30" s="339"/>
      <c r="K30" s="8"/>
      <c r="L30" s="8"/>
      <c r="M30" s="339"/>
      <c r="N30" s="298"/>
      <c r="O30" s="4"/>
      <c r="P30" s="4"/>
      <c r="Q30" s="4"/>
      <c r="R30" s="4"/>
      <c r="S30" s="4"/>
      <c r="T30" s="4"/>
    </row>
    <row r="31" spans="1:20" s="1" customFormat="1">
      <c r="A31" s="5"/>
      <c r="B31" s="4"/>
      <c r="C31" s="54"/>
      <c r="D31" s="4"/>
      <c r="E31" s="4"/>
      <c r="F31" s="336"/>
      <c r="G31" s="345"/>
      <c r="H31" s="8"/>
      <c r="I31" s="8"/>
      <c r="J31" s="348">
        <f>SUM(J22:J30)</f>
        <v>471488370.92449999</v>
      </c>
      <c r="K31" s="339"/>
      <c r="L31" s="348">
        <f>SUM(L22:L30)</f>
        <v>363133330.92449999</v>
      </c>
      <c r="M31" s="348">
        <f>SUM(M22:M30)</f>
        <v>108355040</v>
      </c>
      <c r="N31" s="298"/>
      <c r="O31" s="4"/>
      <c r="P31" s="4"/>
      <c r="Q31" s="4"/>
      <c r="R31" s="4"/>
      <c r="S31" s="4"/>
      <c r="T31" s="4"/>
    </row>
    <row r="32" spans="1:20">
      <c r="A32" s="1"/>
      <c r="B32" s="1"/>
      <c r="C32" s="1"/>
      <c r="D32" s="1"/>
      <c r="E32" s="1"/>
      <c r="F32" s="252"/>
      <c r="G32" s="207"/>
      <c r="H32" s="207"/>
      <c r="I32" s="207"/>
      <c r="J32" s="207"/>
      <c r="K32" s="207"/>
      <c r="L32" s="207"/>
      <c r="M32" s="207"/>
      <c r="N32" s="1"/>
    </row>
    <row r="33" spans="1:16">
      <c r="A33" s="1"/>
      <c r="B33" s="1"/>
      <c r="C33" s="1"/>
      <c r="D33" s="1"/>
      <c r="E33" s="1"/>
      <c r="F33" s="252"/>
      <c r="G33" s="207"/>
      <c r="H33" s="207"/>
      <c r="I33" s="207"/>
      <c r="J33" s="207"/>
      <c r="K33" s="207"/>
      <c r="L33" s="207"/>
      <c r="M33" s="207"/>
      <c r="N33" s="1"/>
    </row>
    <row r="34" spans="1:16">
      <c r="A34" s="347" t="s">
        <v>26</v>
      </c>
      <c r="B34" s="1"/>
      <c r="C34" s="1"/>
      <c r="D34" s="1"/>
      <c r="E34" s="1"/>
      <c r="F34" s="252"/>
      <c r="G34" s="207"/>
      <c r="H34" s="207"/>
      <c r="I34" s="207"/>
      <c r="J34" s="207"/>
      <c r="K34" s="207"/>
      <c r="L34" s="207"/>
      <c r="M34" s="207"/>
      <c r="N34" s="1"/>
    </row>
    <row r="35" spans="1:16" s="1" customFormat="1">
      <c r="A35" s="14">
        <v>4420</v>
      </c>
      <c r="B35" s="1" t="s">
        <v>86</v>
      </c>
      <c r="C35" s="45" t="s">
        <v>209</v>
      </c>
      <c r="D35" s="1" t="s">
        <v>210</v>
      </c>
      <c r="F35" s="399">
        <v>200000000</v>
      </c>
      <c r="G35" s="399">
        <v>200000000</v>
      </c>
      <c r="H35" s="3">
        <v>41874</v>
      </c>
      <c r="I35" s="3">
        <f>H35+35</f>
        <v>41909</v>
      </c>
      <c r="J35" s="399">
        <v>29724277</v>
      </c>
      <c r="K35" s="264">
        <v>43099</v>
      </c>
      <c r="L35" s="304">
        <v>29724277</v>
      </c>
      <c r="M35" s="399">
        <f>J35-L35</f>
        <v>0</v>
      </c>
      <c r="N35" s="3">
        <v>42556</v>
      </c>
      <c r="O35" s="1">
        <v>4559</v>
      </c>
    </row>
    <row r="36" spans="1:16">
      <c r="A36" s="1"/>
      <c r="B36" s="1"/>
      <c r="C36" s="1"/>
      <c r="D36" s="1"/>
      <c r="E36" s="1"/>
      <c r="F36" s="252"/>
      <c r="G36" s="207"/>
      <c r="H36" s="207"/>
      <c r="I36" s="207"/>
      <c r="J36" s="207"/>
      <c r="K36" s="207"/>
      <c r="L36" s="207"/>
      <c r="M36" s="207"/>
      <c r="N36" s="1"/>
    </row>
    <row r="37" spans="1:16">
      <c r="A37" s="1"/>
      <c r="B37" s="1"/>
      <c r="C37" s="1"/>
      <c r="D37" s="1"/>
      <c r="E37" s="1"/>
      <c r="F37" s="252"/>
      <c r="G37" s="207"/>
      <c r="H37" s="207"/>
      <c r="I37" s="207"/>
      <c r="J37" s="325">
        <f>SUM(J35:J36)</f>
        <v>29724277</v>
      </c>
      <c r="K37" s="207"/>
      <c r="L37" s="325">
        <f>SUM(L35:L36)</f>
        <v>29724277</v>
      </c>
      <c r="M37" s="325">
        <f>SUM(M35:M36)</f>
        <v>0</v>
      </c>
      <c r="N37" s="252"/>
    </row>
    <row r="38" spans="1:16">
      <c r="A38" s="1"/>
      <c r="B38" s="1"/>
      <c r="C38" s="1"/>
      <c r="D38" s="1"/>
      <c r="E38" s="1"/>
      <c r="F38" s="252"/>
      <c r="G38" s="207"/>
      <c r="H38" s="207"/>
      <c r="I38" s="207"/>
      <c r="J38" s="207"/>
      <c r="K38" s="207"/>
      <c r="L38" s="207"/>
      <c r="M38" s="207"/>
      <c r="N38" s="1"/>
    </row>
    <row r="39" spans="1:16">
      <c r="A39" s="347" t="s">
        <v>102</v>
      </c>
      <c r="B39" s="1"/>
      <c r="C39" s="1"/>
      <c r="D39" s="1"/>
      <c r="E39" s="1"/>
      <c r="F39" s="252"/>
      <c r="G39" s="207"/>
      <c r="H39" s="207"/>
      <c r="I39" s="207"/>
      <c r="J39" s="207"/>
      <c r="K39" s="207"/>
      <c r="L39" s="207"/>
      <c r="M39" s="207"/>
      <c r="N39" s="1"/>
    </row>
    <row r="40" spans="1:16" s="14" customFormat="1">
      <c r="A40" s="14">
        <v>4385</v>
      </c>
      <c r="B40" s="171" t="s">
        <v>80</v>
      </c>
      <c r="C40" s="1" t="s">
        <v>157</v>
      </c>
      <c r="D40" s="1" t="s">
        <v>102</v>
      </c>
      <c r="E40" s="1" t="s">
        <v>88</v>
      </c>
      <c r="F40" s="227">
        <v>10000000</v>
      </c>
      <c r="G40" s="227">
        <v>10000000</v>
      </c>
      <c r="H40" s="264">
        <v>41863</v>
      </c>
      <c r="I40" s="264">
        <f>H40+35</f>
        <v>41898</v>
      </c>
      <c r="J40" s="399">
        <v>8856362</v>
      </c>
      <c r="K40" s="264">
        <v>43099</v>
      </c>
      <c r="L40" s="399">
        <v>8856362</v>
      </c>
      <c r="M40" s="305">
        <f t="shared" ref="M40:M46" si="2">J40-L40</f>
        <v>0</v>
      </c>
      <c r="N40" s="12">
        <v>42648</v>
      </c>
      <c r="O40" s="499">
        <v>4640</v>
      </c>
    </row>
    <row r="41" spans="1:16" s="14" customFormat="1">
      <c r="A41" s="14">
        <v>4387</v>
      </c>
      <c r="B41" s="171" t="s">
        <v>80</v>
      </c>
      <c r="C41" s="1" t="s">
        <v>156</v>
      </c>
      <c r="D41" s="1" t="s">
        <v>102</v>
      </c>
      <c r="E41" s="45" t="s">
        <v>83</v>
      </c>
      <c r="F41" s="365">
        <v>13000000</v>
      </c>
      <c r="G41" s="365">
        <v>13000000</v>
      </c>
      <c r="H41" s="264">
        <v>41863</v>
      </c>
      <c r="I41" s="264">
        <f t="shared" ref="I41:I42" si="3">H41+35</f>
        <v>41898</v>
      </c>
      <c r="J41" s="458">
        <v>1636000</v>
      </c>
      <c r="K41" s="264">
        <v>43099</v>
      </c>
      <c r="L41" s="84">
        <v>1636000</v>
      </c>
      <c r="M41" s="305">
        <f t="shared" si="2"/>
        <v>0</v>
      </c>
      <c r="N41" s="124">
        <v>42545</v>
      </c>
      <c r="O41" s="499">
        <v>4539</v>
      </c>
    </row>
    <row r="42" spans="1:16" s="14" customFormat="1">
      <c r="A42" s="14">
        <v>4388</v>
      </c>
      <c r="B42" s="171" t="s">
        <v>80</v>
      </c>
      <c r="C42" s="1" t="s">
        <v>200</v>
      </c>
      <c r="D42" s="1" t="s">
        <v>102</v>
      </c>
      <c r="E42" s="45" t="s">
        <v>201</v>
      </c>
      <c r="F42" s="365">
        <v>20000000</v>
      </c>
      <c r="G42" s="365">
        <v>20000000</v>
      </c>
      <c r="H42" s="264">
        <v>41863</v>
      </c>
      <c r="I42" s="264">
        <f t="shared" si="3"/>
        <v>41898</v>
      </c>
      <c r="J42" s="398">
        <v>20000000</v>
      </c>
      <c r="K42" s="264">
        <v>43099</v>
      </c>
      <c r="L42" s="84">
        <v>20000000</v>
      </c>
      <c r="M42" s="305">
        <f t="shared" si="2"/>
        <v>0</v>
      </c>
      <c r="N42" s="124">
        <v>42587</v>
      </c>
      <c r="O42" s="499">
        <v>4584</v>
      </c>
    </row>
    <row r="43" spans="1:16" s="1" customFormat="1">
      <c r="A43" s="14">
        <v>4403</v>
      </c>
      <c r="B43" s="171" t="s">
        <v>80</v>
      </c>
      <c r="C43" s="45" t="s">
        <v>89</v>
      </c>
      <c r="D43" s="1" t="s">
        <v>102</v>
      </c>
      <c r="E43" s="1" t="s">
        <v>164</v>
      </c>
      <c r="F43" s="305">
        <v>65000000</v>
      </c>
      <c r="G43" s="305">
        <v>65000000</v>
      </c>
      <c r="H43" s="3">
        <v>41865</v>
      </c>
      <c r="I43" s="3">
        <f>H43+35</f>
        <v>41900</v>
      </c>
      <c r="J43" s="305">
        <v>54970000</v>
      </c>
      <c r="K43" s="264">
        <v>43099</v>
      </c>
      <c r="L43" s="304"/>
      <c r="M43" s="305">
        <f t="shared" si="2"/>
        <v>54970000</v>
      </c>
      <c r="N43" s="3"/>
      <c r="P43" s="10"/>
    </row>
    <row r="44" spans="1:16" s="1" customFormat="1">
      <c r="A44" s="14">
        <v>4406</v>
      </c>
      <c r="B44" s="171" t="s">
        <v>80</v>
      </c>
      <c r="C44" s="45" t="s">
        <v>184</v>
      </c>
      <c r="D44" s="1" t="s">
        <v>102</v>
      </c>
      <c r="E44" s="1" t="s">
        <v>211</v>
      </c>
      <c r="F44" s="305">
        <v>40000000</v>
      </c>
      <c r="G44" s="305">
        <v>40000000</v>
      </c>
      <c r="H44" s="3">
        <v>41865</v>
      </c>
      <c r="I44" s="3">
        <f>H44+35</f>
        <v>41900</v>
      </c>
      <c r="J44" s="305">
        <v>31700000</v>
      </c>
      <c r="K44" s="264">
        <v>43099</v>
      </c>
      <c r="L44" s="259">
        <v>31700000</v>
      </c>
      <c r="M44" s="305">
        <f t="shared" si="2"/>
        <v>0</v>
      </c>
      <c r="N44" s="3">
        <v>42532</v>
      </c>
      <c r="O44" s="1">
        <v>4564</v>
      </c>
    </row>
    <row r="45" spans="1:16" s="1" customFormat="1">
      <c r="A45" s="14">
        <v>4427</v>
      </c>
      <c r="B45" s="171" t="s">
        <v>80</v>
      </c>
      <c r="C45" s="1" t="s">
        <v>182</v>
      </c>
      <c r="D45" s="1" t="s">
        <v>102</v>
      </c>
      <c r="E45" s="45" t="s">
        <v>183</v>
      </c>
      <c r="F45" s="305">
        <v>20000000</v>
      </c>
      <c r="G45" s="305">
        <v>20000000</v>
      </c>
      <c r="H45" s="3">
        <v>41908</v>
      </c>
      <c r="I45" s="3">
        <f>H45+35</f>
        <v>41943</v>
      </c>
      <c r="J45" s="305">
        <v>2582000</v>
      </c>
      <c r="K45" s="264">
        <v>43099</v>
      </c>
      <c r="L45" s="304"/>
      <c r="M45" s="305">
        <f t="shared" si="2"/>
        <v>2582000</v>
      </c>
      <c r="N45" s="3"/>
    </row>
    <row r="46" spans="1:16" s="1" customFormat="1">
      <c r="A46" s="14">
        <v>4428</v>
      </c>
      <c r="B46" s="171" t="s">
        <v>80</v>
      </c>
      <c r="C46" s="1" t="s">
        <v>202</v>
      </c>
      <c r="D46" s="1" t="s">
        <v>102</v>
      </c>
      <c r="E46" s="45" t="s">
        <v>85</v>
      </c>
      <c r="F46" s="305">
        <v>20000000</v>
      </c>
      <c r="G46" s="305">
        <v>20000000</v>
      </c>
      <c r="H46" s="3">
        <v>41923</v>
      </c>
      <c r="I46" s="3">
        <f>H46+35</f>
        <v>41958</v>
      </c>
      <c r="J46" s="305">
        <v>5000000</v>
      </c>
      <c r="K46" s="264">
        <v>43099</v>
      </c>
      <c r="L46" s="304">
        <v>5000000</v>
      </c>
      <c r="M46" s="305">
        <f t="shared" si="2"/>
        <v>0</v>
      </c>
      <c r="N46" s="3">
        <v>42536</v>
      </c>
      <c r="O46" s="1">
        <v>4545</v>
      </c>
    </row>
    <row r="47" spans="1:16">
      <c r="A47" s="1"/>
      <c r="B47" s="1"/>
      <c r="C47" s="1"/>
      <c r="D47" s="1"/>
      <c r="E47" s="1"/>
      <c r="F47" s="252"/>
      <c r="G47" s="207"/>
      <c r="H47" s="207"/>
      <c r="I47" s="207"/>
      <c r="J47" s="207"/>
      <c r="K47" s="207"/>
      <c r="L47" s="207"/>
      <c r="M47" s="207"/>
      <c r="N47" s="1"/>
    </row>
    <row r="48" spans="1:16">
      <c r="A48" s="1"/>
      <c r="B48" s="1"/>
      <c r="C48" s="1"/>
      <c r="D48" s="1"/>
      <c r="E48" s="1"/>
      <c r="F48" s="252"/>
      <c r="G48" s="104"/>
      <c r="H48" s="104"/>
      <c r="I48" s="207"/>
      <c r="J48" s="344">
        <f>SUM(J40:J47)</f>
        <v>124744362</v>
      </c>
      <c r="K48" s="207"/>
      <c r="L48" s="344">
        <f>SUM(L40:L47)</f>
        <v>67192362</v>
      </c>
      <c r="M48" s="344">
        <f>SUM(M40:M47)</f>
        <v>57552000</v>
      </c>
      <c r="N48" s="10"/>
    </row>
    <row r="49" spans="1:14">
      <c r="A49" s="1"/>
      <c r="B49" s="1"/>
      <c r="C49" s="1"/>
      <c r="D49" s="1"/>
      <c r="E49" s="1"/>
      <c r="F49" s="252"/>
      <c r="G49" s="104"/>
      <c r="H49" s="207"/>
      <c r="I49" s="207"/>
      <c r="J49" s="80"/>
      <c r="K49" s="207"/>
      <c r="L49" s="80"/>
      <c r="M49" s="80"/>
      <c r="N49" s="1"/>
    </row>
    <row r="50" spans="1:14">
      <c r="A50" s="1"/>
      <c r="B50" s="1"/>
      <c r="C50" s="1"/>
      <c r="D50" s="1"/>
      <c r="E50" s="1"/>
      <c r="F50" s="104"/>
      <c r="G50" s="104"/>
      <c r="H50" s="207"/>
      <c r="I50" s="207"/>
      <c r="J50" s="80"/>
      <c r="K50" s="207"/>
      <c r="L50" s="80"/>
      <c r="M50" s="80"/>
      <c r="N50" s="1"/>
    </row>
    <row r="51" spans="1:14" ht="12.75" thickBot="1">
      <c r="M51" s="493">
        <f>M14+M31+M37+M48</f>
        <v>295907040</v>
      </c>
    </row>
    <row r="52" spans="1:14" ht="12.75" thickTop="1"/>
    <row r="53" spans="1:14">
      <c r="L53" s="377"/>
      <c r="M53" s="207"/>
    </row>
    <row r="54" spans="1:14">
      <c r="L54" s="324"/>
      <c r="M54" s="207"/>
    </row>
    <row r="55" spans="1:14">
      <c r="M55" s="207"/>
    </row>
    <row r="56" spans="1:14">
      <c r="M56" s="207"/>
    </row>
    <row r="58" spans="1:14">
      <c r="M58" s="207"/>
      <c r="N58" s="354"/>
    </row>
    <row r="59" spans="1:14">
      <c r="M59" s="207"/>
      <c r="N59" s="354"/>
    </row>
    <row r="60" spans="1:14">
      <c r="M60" s="207"/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77"/>
  <sheetViews>
    <sheetView topLeftCell="F1" workbookViewId="0">
      <selection activeCell="O31" sqref="O31:R37"/>
    </sheetView>
  </sheetViews>
  <sheetFormatPr defaultRowHeight="12"/>
  <cols>
    <col min="1" max="1" width="10.140625" customWidth="1"/>
    <col min="2" max="2" width="14.85546875" customWidth="1"/>
    <col min="3" max="3" width="31.5703125" customWidth="1"/>
    <col min="4" max="4" width="51.85546875" bestFit="1" customWidth="1"/>
    <col min="5" max="5" width="12.140625" bestFit="1" customWidth="1"/>
    <col min="6" max="6" width="16.42578125" bestFit="1" customWidth="1"/>
    <col min="7" max="7" width="17.42578125" bestFit="1" customWidth="1"/>
    <col min="8" max="8" width="18.140625" bestFit="1" customWidth="1"/>
    <col min="9" max="9" width="12.140625" bestFit="1" customWidth="1"/>
    <col min="10" max="10" width="14.7109375" bestFit="1" customWidth="1"/>
    <col min="11" max="11" width="11.85546875" bestFit="1" customWidth="1"/>
    <col min="12" max="12" width="17.5703125" bestFit="1" customWidth="1"/>
    <col min="13" max="13" width="18.5703125" bestFit="1" customWidth="1"/>
    <col min="14" max="14" width="11.7109375" bestFit="1" customWidth="1"/>
    <col min="15" max="15" width="16.28515625" style="483" bestFit="1" customWidth="1"/>
    <col min="16" max="16" width="14" bestFit="1" customWidth="1"/>
    <col min="18" max="18" width="14.7109375" bestFit="1" customWidth="1"/>
  </cols>
  <sheetData>
    <row r="1" spans="1:15" ht="12.75">
      <c r="A1" s="281"/>
      <c r="B1" s="281" t="s">
        <v>223</v>
      </c>
      <c r="C1" s="283"/>
      <c r="D1" s="284"/>
      <c r="E1" s="286"/>
      <c r="F1" s="309"/>
      <c r="G1" s="309"/>
      <c r="H1" s="310"/>
      <c r="I1" s="310"/>
      <c r="J1" s="311"/>
      <c r="K1" s="310"/>
      <c r="L1" s="309"/>
      <c r="M1" s="310"/>
      <c r="N1" s="330"/>
    </row>
    <row r="2" spans="1:15" ht="12.75">
      <c r="A2" s="271" t="s">
        <v>34</v>
      </c>
      <c r="B2" s="272" t="s">
        <v>39</v>
      </c>
      <c r="C2" s="177" t="s">
        <v>32</v>
      </c>
      <c r="D2" s="273" t="s">
        <v>51</v>
      </c>
      <c r="E2" s="273" t="s">
        <v>47</v>
      </c>
      <c r="F2" s="312" t="s">
        <v>92</v>
      </c>
      <c r="G2" s="312" t="s">
        <v>93</v>
      </c>
      <c r="H2" s="313" t="s">
        <v>104</v>
      </c>
      <c r="I2" s="313" t="s">
        <v>94</v>
      </c>
      <c r="J2" s="314" t="s">
        <v>95</v>
      </c>
      <c r="K2" s="313"/>
      <c r="L2" s="312" t="s">
        <v>96</v>
      </c>
      <c r="M2" s="315" t="s">
        <v>97</v>
      </c>
      <c r="N2" s="331" t="s">
        <v>23</v>
      </c>
    </row>
    <row r="3" spans="1:15" ht="12.75">
      <c r="A3" s="271" t="s">
        <v>50</v>
      </c>
      <c r="B3" s="274"/>
      <c r="C3" s="177"/>
      <c r="D3" s="273"/>
      <c r="E3" s="273"/>
      <c r="F3" s="312" t="s">
        <v>57</v>
      </c>
      <c r="G3" s="312" t="s">
        <v>57</v>
      </c>
      <c r="H3" s="313" t="s">
        <v>9</v>
      </c>
      <c r="I3" s="313" t="s">
        <v>18</v>
      </c>
      <c r="J3" s="314" t="s">
        <v>57</v>
      </c>
      <c r="K3" s="313" t="s">
        <v>18</v>
      </c>
      <c r="L3" s="312" t="s">
        <v>57</v>
      </c>
      <c r="M3" s="315" t="s">
        <v>98</v>
      </c>
      <c r="N3" s="331" t="s">
        <v>5</v>
      </c>
    </row>
    <row r="4" spans="1:15" ht="13.5" thickBot="1">
      <c r="A4" s="275" t="s">
        <v>17</v>
      </c>
      <c r="B4" s="276"/>
      <c r="C4" s="277"/>
      <c r="D4" s="278"/>
      <c r="E4" s="278"/>
      <c r="F4" s="316"/>
      <c r="G4" s="316"/>
      <c r="H4" s="317"/>
      <c r="I4" s="317"/>
      <c r="J4" s="318"/>
      <c r="K4" s="317"/>
      <c r="L4" s="316"/>
      <c r="M4" s="316"/>
      <c r="N4" s="332" t="s">
        <v>9</v>
      </c>
    </row>
    <row r="5" spans="1:15">
      <c r="F5" s="319"/>
      <c r="G5" s="319"/>
      <c r="H5" s="207"/>
      <c r="I5" s="207"/>
      <c r="J5" s="207"/>
      <c r="K5" s="207"/>
      <c r="L5" s="207"/>
      <c r="M5" s="207"/>
      <c r="N5" s="1"/>
    </row>
    <row r="6" spans="1:15">
      <c r="A6" s="479" t="s">
        <v>99</v>
      </c>
      <c r="F6" s="320"/>
      <c r="G6" s="320"/>
      <c r="H6" s="207"/>
      <c r="I6" s="207"/>
      <c r="J6" s="207"/>
      <c r="K6" s="207"/>
      <c r="L6" s="207"/>
      <c r="M6" s="207"/>
      <c r="N6" s="1"/>
    </row>
    <row r="7" spans="1:15">
      <c r="A7" s="45" t="s">
        <v>221</v>
      </c>
      <c r="B7" s="1" t="s">
        <v>80</v>
      </c>
      <c r="C7" s="1" t="s">
        <v>158</v>
      </c>
      <c r="D7" s="1" t="s">
        <v>222</v>
      </c>
      <c r="E7" s="1" t="s">
        <v>85</v>
      </c>
      <c r="F7" s="83">
        <v>35000000</v>
      </c>
      <c r="G7" s="83">
        <v>35000000</v>
      </c>
      <c r="H7" s="264">
        <v>42371</v>
      </c>
      <c r="I7" s="264">
        <v>42384</v>
      </c>
      <c r="J7" s="83">
        <v>35000000</v>
      </c>
      <c r="K7" s="264">
        <v>43464</v>
      </c>
      <c r="L7" s="79">
        <v>33500000</v>
      </c>
      <c r="M7" s="79">
        <f>J7-L7</f>
        <v>1500000</v>
      </c>
      <c r="N7" s="3">
        <v>42721</v>
      </c>
    </row>
    <row r="8" spans="1:15">
      <c r="A8" s="213" t="s">
        <v>225</v>
      </c>
      <c r="B8" s="1" t="s">
        <v>86</v>
      </c>
      <c r="C8" s="1" t="s">
        <v>202</v>
      </c>
      <c r="D8" s="1" t="s">
        <v>226</v>
      </c>
      <c r="E8" s="1" t="s">
        <v>85</v>
      </c>
      <c r="F8" s="83">
        <v>28000000</v>
      </c>
      <c r="G8" s="83">
        <v>28000000</v>
      </c>
      <c r="H8" s="264">
        <v>42371</v>
      </c>
      <c r="I8" s="264">
        <v>42384</v>
      </c>
      <c r="J8" s="83">
        <v>28000000</v>
      </c>
      <c r="K8" s="264">
        <v>43464</v>
      </c>
      <c r="L8" s="74">
        <v>28000000</v>
      </c>
      <c r="M8" s="79">
        <f>J8-L8</f>
        <v>0</v>
      </c>
      <c r="N8" s="3">
        <v>42580</v>
      </c>
    </row>
    <row r="9" spans="1:15" s="326" customFormat="1">
      <c r="A9" s="54" t="s">
        <v>228</v>
      </c>
      <c r="B9" s="4" t="s">
        <v>80</v>
      </c>
      <c r="C9" s="4" t="s">
        <v>202</v>
      </c>
      <c r="D9" s="4" t="s">
        <v>233</v>
      </c>
      <c r="E9" s="4" t="s">
        <v>85</v>
      </c>
      <c r="F9" s="77">
        <v>44000000</v>
      </c>
      <c r="G9" s="77">
        <v>44000000</v>
      </c>
      <c r="H9" s="301">
        <v>42371</v>
      </c>
      <c r="I9" s="301">
        <v>42384</v>
      </c>
      <c r="J9" s="77">
        <v>44000000</v>
      </c>
      <c r="K9" s="301">
        <v>43464</v>
      </c>
      <c r="L9" s="80">
        <v>0</v>
      </c>
      <c r="M9" s="80">
        <f>J9-L9</f>
        <v>44000000</v>
      </c>
      <c r="N9" s="4"/>
      <c r="O9" s="484"/>
    </row>
    <row r="10" spans="1:15" s="326" customFormat="1">
      <c r="A10" s="54" t="s">
        <v>241</v>
      </c>
      <c r="B10" s="4" t="s">
        <v>80</v>
      </c>
      <c r="C10" s="4" t="s">
        <v>202</v>
      </c>
      <c r="D10" s="4" t="s">
        <v>242</v>
      </c>
      <c r="E10" s="4" t="s">
        <v>85</v>
      </c>
      <c r="F10" s="77">
        <v>41000000</v>
      </c>
      <c r="G10" s="188">
        <v>24780000</v>
      </c>
      <c r="H10" s="301">
        <v>42382</v>
      </c>
      <c r="I10" s="301">
        <v>42396</v>
      </c>
      <c r="J10" s="188">
        <v>24780000</v>
      </c>
      <c r="K10" s="301">
        <v>43464</v>
      </c>
      <c r="L10" s="80">
        <v>0</v>
      </c>
      <c r="M10" s="80">
        <f>J10-L10</f>
        <v>24780000</v>
      </c>
      <c r="N10" s="4"/>
      <c r="O10" s="484"/>
    </row>
    <row r="11" spans="1:15">
      <c r="A11" s="45" t="s">
        <v>243</v>
      </c>
      <c r="B11" s="1" t="s">
        <v>161</v>
      </c>
      <c r="C11" s="1" t="s">
        <v>202</v>
      </c>
      <c r="D11" s="1" t="s">
        <v>244</v>
      </c>
      <c r="E11" s="1" t="s">
        <v>85</v>
      </c>
      <c r="F11" s="83">
        <v>28000000</v>
      </c>
      <c r="G11" s="83"/>
      <c r="H11" s="264"/>
      <c r="I11" s="264"/>
      <c r="J11" s="83"/>
      <c r="K11" s="264"/>
      <c r="L11" s="79"/>
      <c r="M11" s="79"/>
      <c r="N11" s="1"/>
    </row>
    <row r="12" spans="1:15">
      <c r="A12" s="45" t="s">
        <v>246</v>
      </c>
      <c r="B12" s="1" t="s">
        <v>161</v>
      </c>
      <c r="C12" s="1" t="s">
        <v>202</v>
      </c>
      <c r="D12" s="1" t="s">
        <v>245</v>
      </c>
      <c r="E12" s="1" t="s">
        <v>249</v>
      </c>
      <c r="F12" s="83">
        <v>38000000</v>
      </c>
      <c r="G12" s="83"/>
      <c r="H12" s="264"/>
      <c r="I12" s="264"/>
      <c r="J12" s="83"/>
      <c r="K12" s="264"/>
      <c r="L12" s="79"/>
      <c r="M12" s="79"/>
      <c r="N12" s="1"/>
    </row>
    <row r="13" spans="1:15">
      <c r="A13" s="45" t="s">
        <v>247</v>
      </c>
      <c r="B13" s="1" t="s">
        <v>161</v>
      </c>
      <c r="C13" s="1" t="s">
        <v>202</v>
      </c>
      <c r="D13" s="1" t="s">
        <v>248</v>
      </c>
      <c r="E13" s="1" t="s">
        <v>85</v>
      </c>
      <c r="F13" s="83">
        <v>38000000</v>
      </c>
      <c r="G13" s="83"/>
      <c r="H13" s="264"/>
      <c r="I13" s="264"/>
      <c r="J13" s="83"/>
      <c r="K13" s="264"/>
      <c r="L13" s="79"/>
      <c r="M13" s="79"/>
      <c r="N13" s="1"/>
    </row>
    <row r="14" spans="1:15">
      <c r="A14" s="1" t="s">
        <v>261</v>
      </c>
      <c r="B14" s="1" t="s">
        <v>161</v>
      </c>
      <c r="C14" s="250" t="s">
        <v>260</v>
      </c>
      <c r="D14" s="1" t="s">
        <v>262</v>
      </c>
      <c r="E14" s="1" t="s">
        <v>83</v>
      </c>
      <c r="F14" s="83">
        <v>35000000</v>
      </c>
      <c r="G14" s="83"/>
      <c r="H14" s="264"/>
      <c r="I14" s="264"/>
      <c r="J14" s="83"/>
      <c r="K14" s="264"/>
      <c r="L14" s="79"/>
      <c r="M14" s="79"/>
      <c r="N14" s="1"/>
    </row>
    <row r="15" spans="1:15">
      <c r="A15" s="1" t="s">
        <v>338</v>
      </c>
      <c r="B15" s="1" t="s">
        <v>161</v>
      </c>
      <c r="C15" s="250" t="s">
        <v>260</v>
      </c>
      <c r="D15" s="1" t="s">
        <v>339</v>
      </c>
      <c r="E15" s="1" t="s">
        <v>256</v>
      </c>
      <c r="F15" s="83">
        <v>45000000</v>
      </c>
      <c r="G15" s="83"/>
      <c r="H15" s="264"/>
      <c r="I15" s="264"/>
      <c r="J15" s="83"/>
      <c r="K15" s="264"/>
      <c r="L15" s="79"/>
      <c r="M15" s="79"/>
      <c r="N15" s="1"/>
    </row>
    <row r="16" spans="1:15">
      <c r="A16" s="1" t="s">
        <v>340</v>
      </c>
      <c r="B16" s="1" t="s">
        <v>161</v>
      </c>
      <c r="C16" s="250" t="s">
        <v>260</v>
      </c>
      <c r="D16" s="1" t="s">
        <v>341</v>
      </c>
      <c r="E16" s="1" t="s">
        <v>83</v>
      </c>
      <c r="F16" s="83">
        <v>50000000</v>
      </c>
      <c r="G16" s="83"/>
      <c r="H16" s="264"/>
      <c r="I16" s="264"/>
      <c r="J16" s="83"/>
      <c r="K16" s="264"/>
      <c r="L16" s="79"/>
      <c r="M16" s="79"/>
      <c r="N16" s="1"/>
    </row>
    <row r="17" spans="1:18">
      <c r="A17" s="1"/>
      <c r="B17" s="1"/>
      <c r="C17" s="250"/>
      <c r="D17" s="1"/>
      <c r="E17" s="1"/>
      <c r="F17" s="83"/>
      <c r="G17" s="79"/>
      <c r="H17" s="207"/>
      <c r="I17" s="207"/>
      <c r="J17" s="207"/>
      <c r="K17" s="207"/>
      <c r="L17" s="79"/>
      <c r="M17" s="79"/>
      <c r="N17" s="1"/>
    </row>
    <row r="18" spans="1:18">
      <c r="A18" s="1"/>
      <c r="B18" s="1"/>
      <c r="C18" s="1"/>
      <c r="D18" s="1"/>
      <c r="E18" s="1"/>
      <c r="F18" s="344">
        <f>SUM(F7:F17)</f>
        <v>382000000</v>
      </c>
      <c r="G18" s="344">
        <f>SUM(G7:G17)</f>
        <v>131780000</v>
      </c>
      <c r="H18" s="207"/>
      <c r="I18" s="207"/>
      <c r="J18" s="207"/>
      <c r="K18" s="207"/>
      <c r="L18" s="113">
        <f>SUM(L5:L17)</f>
        <v>61500000</v>
      </c>
      <c r="M18" s="113">
        <f>SUM(M5:M17)</f>
        <v>70280000</v>
      </c>
      <c r="N18" s="1"/>
    </row>
    <row r="19" spans="1:18">
      <c r="A19" s="1"/>
      <c r="B19" s="1"/>
      <c r="C19" s="1"/>
      <c r="D19" s="1"/>
      <c r="E19" s="1"/>
      <c r="F19" s="79"/>
      <c r="G19" s="79"/>
      <c r="H19" s="207"/>
      <c r="I19" s="207"/>
      <c r="J19" s="207"/>
      <c r="K19" s="207"/>
      <c r="L19" s="79"/>
      <c r="M19" s="79"/>
      <c r="N19" s="1"/>
    </row>
    <row r="20" spans="1:18" ht="12.75" thickBot="1">
      <c r="A20" s="1"/>
      <c r="B20" s="1"/>
      <c r="C20" s="1"/>
      <c r="D20" s="1"/>
      <c r="E20" s="1"/>
      <c r="F20" s="79"/>
      <c r="G20" s="79"/>
      <c r="H20" s="207"/>
      <c r="I20" s="207"/>
      <c r="J20" s="207"/>
      <c r="K20" s="207"/>
      <c r="L20" s="79"/>
      <c r="M20" s="79"/>
      <c r="N20" s="1"/>
    </row>
    <row r="21" spans="1:18" ht="12.75" thickBot="1">
      <c r="A21" s="1"/>
      <c r="B21" s="1"/>
      <c r="C21" s="1"/>
      <c r="D21" s="351" t="s">
        <v>214</v>
      </c>
      <c r="E21" s="352"/>
      <c r="F21" s="355">
        <v>131779999.94999981</v>
      </c>
      <c r="G21" s="79"/>
      <c r="H21" s="79"/>
      <c r="I21" s="207"/>
      <c r="J21" s="207"/>
      <c r="K21" s="207"/>
      <c r="L21" s="79"/>
      <c r="M21" s="79"/>
      <c r="N21" s="1"/>
    </row>
    <row r="22" spans="1:18">
      <c r="A22" s="1"/>
      <c r="B22" s="1"/>
      <c r="C22" s="1"/>
      <c r="D22" s="1"/>
      <c r="E22" s="1"/>
      <c r="F22" s="79"/>
      <c r="G22" s="79"/>
      <c r="H22" s="207"/>
      <c r="I22" s="207"/>
      <c r="J22" s="207"/>
      <c r="K22" s="207"/>
      <c r="L22" s="79"/>
      <c r="M22" s="79">
        <v>130528734</v>
      </c>
      <c r="N22" s="1"/>
    </row>
    <row r="23" spans="1:18">
      <c r="F23" s="343"/>
      <c r="G23" s="343"/>
      <c r="L23" s="335">
        <v>184997155</v>
      </c>
      <c r="M23">
        <v>54468421</v>
      </c>
    </row>
    <row r="25" spans="1:18" ht="12.75" thickBot="1">
      <c r="A25" s="1"/>
      <c r="B25" s="1"/>
      <c r="C25" s="250"/>
      <c r="D25" s="1"/>
      <c r="E25" s="1"/>
      <c r="F25" s="83"/>
      <c r="G25" s="79"/>
      <c r="H25" s="207"/>
      <c r="I25" s="207"/>
      <c r="J25" s="207"/>
      <c r="K25" s="207"/>
      <c r="L25" s="207"/>
      <c r="M25" s="207"/>
      <c r="N25" s="1"/>
    </row>
    <row r="26" spans="1:18" ht="12.75">
      <c r="A26" s="281"/>
      <c r="B26" s="281" t="s">
        <v>364</v>
      </c>
      <c r="C26" s="204"/>
      <c r="D26" s="204"/>
      <c r="E26" s="204"/>
      <c r="F26" s="321"/>
      <c r="G26" s="321"/>
      <c r="H26" s="321"/>
      <c r="I26" s="321"/>
      <c r="J26" s="321"/>
      <c r="K26" s="321"/>
      <c r="L26" s="321"/>
      <c r="M26" s="321"/>
      <c r="N26" s="333"/>
    </row>
    <row r="27" spans="1:18" ht="12.75">
      <c r="A27" s="271" t="s">
        <v>34</v>
      </c>
      <c r="B27" s="272" t="s">
        <v>39</v>
      </c>
      <c r="C27" s="177" t="s">
        <v>32</v>
      </c>
      <c r="D27" s="280" t="s">
        <v>51</v>
      </c>
      <c r="E27" s="280" t="s">
        <v>47</v>
      </c>
      <c r="F27" s="312" t="s">
        <v>92</v>
      </c>
      <c r="G27" s="312" t="s">
        <v>56</v>
      </c>
      <c r="H27" s="313"/>
      <c r="I27" s="313" t="s">
        <v>36</v>
      </c>
      <c r="J27" s="314" t="s">
        <v>95</v>
      </c>
      <c r="K27" s="313"/>
      <c r="L27" s="312" t="s">
        <v>100</v>
      </c>
      <c r="M27" s="315" t="s">
        <v>97</v>
      </c>
      <c r="N27" s="331" t="s">
        <v>23</v>
      </c>
    </row>
    <row r="28" spans="1:18" ht="12.75">
      <c r="A28" s="271" t="s">
        <v>50</v>
      </c>
      <c r="B28" s="274"/>
      <c r="C28" s="177"/>
      <c r="D28" s="280"/>
      <c r="E28" s="280"/>
      <c r="F28" s="312" t="s">
        <v>57</v>
      </c>
      <c r="G28" s="312" t="s">
        <v>57</v>
      </c>
      <c r="H28" s="313" t="s">
        <v>9</v>
      </c>
      <c r="I28" s="313" t="s">
        <v>18</v>
      </c>
      <c r="J28" s="314" t="s">
        <v>57</v>
      </c>
      <c r="K28" s="313" t="s">
        <v>18</v>
      </c>
      <c r="L28" s="312" t="s">
        <v>57</v>
      </c>
      <c r="M28" s="315" t="s">
        <v>98</v>
      </c>
      <c r="N28" s="331" t="s">
        <v>5</v>
      </c>
    </row>
    <row r="29" spans="1:18" ht="13.5" thickBot="1">
      <c r="A29" s="275" t="s">
        <v>17</v>
      </c>
      <c r="B29" s="276"/>
      <c r="C29" s="277"/>
      <c r="D29" s="279"/>
      <c r="E29" s="279"/>
      <c r="F29" s="316"/>
      <c r="G29" s="316"/>
      <c r="H29" s="317"/>
      <c r="I29" s="317"/>
      <c r="J29" s="322"/>
      <c r="K29" s="317"/>
      <c r="L29" s="316"/>
      <c r="M29" s="323" t="s">
        <v>101</v>
      </c>
      <c r="N29" s="332" t="s">
        <v>9</v>
      </c>
    </row>
    <row r="30" spans="1:18">
      <c r="A30" s="285" t="s">
        <v>58</v>
      </c>
    </row>
    <row r="31" spans="1:18" s="14" customFormat="1">
      <c r="A31" s="14">
        <v>4483</v>
      </c>
      <c r="B31" s="45" t="s">
        <v>80</v>
      </c>
      <c r="C31" s="250" t="s">
        <v>79</v>
      </c>
      <c r="D31" s="250" t="s">
        <v>167</v>
      </c>
      <c r="E31" s="250" t="s">
        <v>192</v>
      </c>
      <c r="F31" s="393">
        <v>106334337</v>
      </c>
      <c r="G31" s="393">
        <v>106334337</v>
      </c>
      <c r="H31" s="264">
        <v>42217</v>
      </c>
      <c r="I31" s="264">
        <f t="shared" ref="I31:I38" si="0">H31+35</f>
        <v>42252</v>
      </c>
      <c r="J31" s="334">
        <v>106334337</v>
      </c>
      <c r="K31" s="264">
        <f t="shared" ref="K31:K38" si="1">H31+180</f>
        <v>42397</v>
      </c>
      <c r="L31" s="91">
        <f>51865916+54468421</f>
        <v>106334337</v>
      </c>
      <c r="M31" s="334">
        <f>J31-L31</f>
        <v>0</v>
      </c>
      <c r="N31" s="474">
        <v>42411</v>
      </c>
      <c r="O31" s="562">
        <f>'[1]SC1 MRB'!P10-SUM('[1]2018 CF'!L22:L24)</f>
        <v>51865915.550000012</v>
      </c>
      <c r="P31" s="11">
        <f>L31-O31</f>
        <v>54468421.449999988</v>
      </c>
      <c r="Q31" s="563">
        <v>4566</v>
      </c>
      <c r="R31" s="14">
        <v>4611</v>
      </c>
    </row>
    <row r="32" spans="1:18" s="14" customFormat="1">
      <c r="A32" s="14">
        <v>4484</v>
      </c>
      <c r="B32" s="45" t="s">
        <v>80</v>
      </c>
      <c r="C32" s="250" t="s">
        <v>79</v>
      </c>
      <c r="D32" s="250" t="s">
        <v>167</v>
      </c>
      <c r="E32" s="250" t="s">
        <v>192</v>
      </c>
      <c r="F32" s="335">
        <v>175000000</v>
      </c>
      <c r="G32" s="335">
        <v>175000000</v>
      </c>
      <c r="H32" s="264">
        <v>42217</v>
      </c>
      <c r="I32" s="264">
        <f t="shared" si="0"/>
        <v>42252</v>
      </c>
      <c r="J32" s="335">
        <v>175000000</v>
      </c>
      <c r="K32" s="264">
        <f t="shared" si="1"/>
        <v>42397</v>
      </c>
      <c r="L32" s="91">
        <f>130528734+44471266</f>
        <v>175000000</v>
      </c>
      <c r="M32" s="492">
        <f t="shared" ref="M32:M38" si="2">J32-L32</f>
        <v>0</v>
      </c>
      <c r="N32" s="474">
        <v>42559</v>
      </c>
      <c r="O32" s="11">
        <f>'[1]SC1 MRB'!P11-P31</f>
        <v>130528733.55000001</v>
      </c>
      <c r="P32" s="562">
        <f>L32-O32</f>
        <v>44471266.449999988</v>
      </c>
      <c r="Q32" s="563">
        <v>4611</v>
      </c>
      <c r="R32" s="14">
        <v>4683</v>
      </c>
    </row>
    <row r="33" spans="1:18" s="14" customFormat="1">
      <c r="A33" s="14">
        <v>4486</v>
      </c>
      <c r="B33" s="45" t="s">
        <v>80</v>
      </c>
      <c r="C33" s="250" t="s">
        <v>184</v>
      </c>
      <c r="D33" s="250" t="s">
        <v>267</v>
      </c>
      <c r="E33" s="250" t="s">
        <v>192</v>
      </c>
      <c r="F33" s="335">
        <v>84383424.400000006</v>
      </c>
      <c r="G33" s="335">
        <v>84383424.400000006</v>
      </c>
      <c r="H33" s="264">
        <v>42222</v>
      </c>
      <c r="I33" s="264">
        <f t="shared" si="0"/>
        <v>42257</v>
      </c>
      <c r="J33" s="335">
        <v>84383424.400000006</v>
      </c>
      <c r="K33" s="264">
        <f t="shared" si="1"/>
        <v>42402</v>
      </c>
      <c r="L33" s="91">
        <v>0</v>
      </c>
      <c r="M33" s="492">
        <f t="shared" si="2"/>
        <v>84383424.400000006</v>
      </c>
      <c r="N33" s="12"/>
      <c r="O33" s="485"/>
      <c r="P33" s="564"/>
      <c r="Q33" s="485"/>
      <c r="R33" s="564"/>
    </row>
    <row r="34" spans="1:18" s="14" customFormat="1">
      <c r="A34" s="14">
        <v>4487</v>
      </c>
      <c r="B34" s="45" t="s">
        <v>80</v>
      </c>
      <c r="C34" s="250" t="s">
        <v>356</v>
      </c>
      <c r="D34" s="250" t="s">
        <v>204</v>
      </c>
      <c r="E34" s="250" t="s">
        <v>88</v>
      </c>
      <c r="F34" s="365">
        <v>25000000</v>
      </c>
      <c r="G34" s="365">
        <v>25000000</v>
      </c>
      <c r="H34" s="264">
        <v>42222</v>
      </c>
      <c r="I34" s="264">
        <f>H34+35</f>
        <v>42257</v>
      </c>
      <c r="J34" s="335">
        <v>25000000</v>
      </c>
      <c r="K34" s="264">
        <f>H34+180</f>
        <v>42402</v>
      </c>
      <c r="L34" s="91">
        <v>0</v>
      </c>
      <c r="M34" s="492">
        <f t="shared" si="2"/>
        <v>25000000</v>
      </c>
      <c r="N34" s="91"/>
      <c r="O34" s="563"/>
      <c r="P34" s="564"/>
      <c r="Q34" s="563"/>
      <c r="R34" s="564"/>
    </row>
    <row r="35" spans="1:18" s="14" customFormat="1">
      <c r="A35" s="14">
        <v>4488</v>
      </c>
      <c r="B35" s="45" t="s">
        <v>80</v>
      </c>
      <c r="C35" s="250" t="s">
        <v>79</v>
      </c>
      <c r="D35" s="250" t="s">
        <v>167</v>
      </c>
      <c r="E35" s="250" t="s">
        <v>192</v>
      </c>
      <c r="F35" s="335">
        <v>216481741.5</v>
      </c>
      <c r="G35" s="335">
        <v>216481741.5</v>
      </c>
      <c r="H35" s="264">
        <v>42222</v>
      </c>
      <c r="I35" s="264">
        <f t="shared" si="0"/>
        <v>42257</v>
      </c>
      <c r="J35" s="335">
        <v>216481741.5</v>
      </c>
      <c r="K35" s="264">
        <f t="shared" si="1"/>
        <v>42402</v>
      </c>
      <c r="L35" s="91">
        <v>216481741.5</v>
      </c>
      <c r="M35" s="492">
        <f t="shared" si="2"/>
        <v>0</v>
      </c>
      <c r="N35" s="91"/>
      <c r="O35" s="118">
        <f>L35</f>
        <v>216481741.5</v>
      </c>
      <c r="P35" s="12"/>
      <c r="Q35" s="14">
        <v>4683</v>
      </c>
      <c r="R35" s="12"/>
    </row>
    <row r="36" spans="1:18" s="14" customFormat="1">
      <c r="A36" s="14">
        <v>4489</v>
      </c>
      <c r="B36" s="45" t="s">
        <v>80</v>
      </c>
      <c r="C36" s="250" t="s">
        <v>184</v>
      </c>
      <c r="D36" s="250" t="s">
        <v>267</v>
      </c>
      <c r="E36" s="250" t="s">
        <v>192</v>
      </c>
      <c r="F36" s="335">
        <v>216481741.5</v>
      </c>
      <c r="G36" s="335">
        <v>216481741.5</v>
      </c>
      <c r="H36" s="264">
        <v>42222</v>
      </c>
      <c r="I36" s="264">
        <f t="shared" si="0"/>
        <v>42257</v>
      </c>
      <c r="J36" s="335">
        <v>216481741.5</v>
      </c>
      <c r="K36" s="264">
        <f t="shared" si="1"/>
        <v>42402</v>
      </c>
      <c r="L36" s="11">
        <v>0</v>
      </c>
      <c r="M36" s="492">
        <f t="shared" si="2"/>
        <v>216481741.5</v>
      </c>
      <c r="N36" s="91"/>
      <c r="O36" s="562"/>
      <c r="P36" s="12"/>
      <c r="Q36" s="562"/>
      <c r="R36" s="12"/>
    </row>
    <row r="37" spans="1:18" s="1" customFormat="1">
      <c r="A37" s="14">
        <v>4514</v>
      </c>
      <c r="B37" s="45" t="s">
        <v>80</v>
      </c>
      <c r="C37" s="250" t="s">
        <v>79</v>
      </c>
      <c r="D37" s="250" t="s">
        <v>253</v>
      </c>
      <c r="E37" s="250" t="s">
        <v>192</v>
      </c>
      <c r="F37" s="365">
        <v>758518258.5</v>
      </c>
      <c r="G37" s="365">
        <v>758518258.5</v>
      </c>
      <c r="H37" s="3">
        <v>42235</v>
      </c>
      <c r="I37" s="3">
        <f t="shared" si="0"/>
        <v>42270</v>
      </c>
      <c r="J37" s="305">
        <v>607470165.5</v>
      </c>
      <c r="K37" s="3">
        <f t="shared" si="1"/>
        <v>42415</v>
      </c>
      <c r="L37" s="259">
        <v>539046992.5</v>
      </c>
      <c r="M37" s="492">
        <f t="shared" si="2"/>
        <v>68423173</v>
      </c>
      <c r="N37" s="304"/>
      <c r="O37" s="118">
        <f>'[1]Aug 15'!P47-'[1]2019 CF'!P32-O35</f>
        <v>539046992.04999995</v>
      </c>
      <c r="P37" s="3"/>
      <c r="Q37" s="14">
        <v>4683</v>
      </c>
      <c r="R37" s="3"/>
    </row>
    <row r="38" spans="1:18" ht="15">
      <c r="A38" s="14">
        <v>4516</v>
      </c>
      <c r="B38" s="45" t="s">
        <v>80</v>
      </c>
      <c r="C38" s="250" t="s">
        <v>184</v>
      </c>
      <c r="D38" s="250" t="s">
        <v>254</v>
      </c>
      <c r="E38" s="250" t="s">
        <v>192</v>
      </c>
      <c r="F38" s="335">
        <v>443000000</v>
      </c>
      <c r="G38" s="335">
        <v>443000000</v>
      </c>
      <c r="H38" s="264">
        <v>42235</v>
      </c>
      <c r="I38" s="264">
        <f t="shared" si="0"/>
        <v>42270</v>
      </c>
      <c r="J38" s="371">
        <v>367000000</v>
      </c>
      <c r="K38" s="264">
        <f t="shared" si="1"/>
        <v>42415</v>
      </c>
      <c r="L38" s="10">
        <v>0</v>
      </c>
      <c r="M38" s="492">
        <f t="shared" si="2"/>
        <v>367000000</v>
      </c>
      <c r="O38" s="12"/>
      <c r="P38" s="557"/>
      <c r="Q38" s="557"/>
      <c r="R38" s="558"/>
    </row>
    <row r="39" spans="1:18">
      <c r="F39" s="319"/>
      <c r="G39" s="319"/>
      <c r="H39" s="319"/>
      <c r="I39" s="319"/>
      <c r="J39" s="319"/>
      <c r="K39" s="319"/>
      <c r="L39" s="343"/>
      <c r="M39" s="553"/>
      <c r="O39" s="304"/>
    </row>
    <row r="40" spans="1:18">
      <c r="F40" s="319"/>
      <c r="G40" s="319"/>
      <c r="H40" s="319"/>
      <c r="I40" s="319"/>
      <c r="J40" s="344">
        <f>SUM(J31:J39)</f>
        <v>1798151409.9000001</v>
      </c>
      <c r="K40" s="454"/>
      <c r="L40" s="344">
        <f>SUM(L31:L39)</f>
        <v>1036863071</v>
      </c>
      <c r="M40" s="344">
        <f>SUM(M31:M39)</f>
        <v>761288338.89999998</v>
      </c>
    </row>
    <row r="41" spans="1:18">
      <c r="F41" s="319"/>
      <c r="G41" s="319"/>
      <c r="H41" s="319"/>
      <c r="I41" s="319"/>
      <c r="J41" s="319"/>
      <c r="K41" s="319"/>
      <c r="L41" s="343"/>
      <c r="M41" s="343"/>
      <c r="O41" s="487"/>
    </row>
    <row r="42" spans="1:18" ht="12.75" thickBot="1">
      <c r="F42" s="319"/>
      <c r="G42" s="319"/>
      <c r="H42" s="319"/>
      <c r="I42" s="319"/>
      <c r="J42" s="319"/>
      <c r="K42" s="319"/>
      <c r="L42" s="343"/>
      <c r="M42" s="343">
        <f>SUM(M33+M38+M36)</f>
        <v>667865165.89999998</v>
      </c>
    </row>
    <row r="43" spans="1:18">
      <c r="A43" s="300" t="s">
        <v>102</v>
      </c>
      <c r="F43" s="319"/>
      <c r="G43" s="334"/>
      <c r="H43" s="264"/>
      <c r="I43" s="319"/>
      <c r="J43" s="319"/>
      <c r="K43" s="319"/>
      <c r="L43" s="343"/>
      <c r="M43" s="343"/>
    </row>
    <row r="44" spans="1:18" s="1" customFormat="1">
      <c r="A44" s="14">
        <v>4493</v>
      </c>
      <c r="B44" s="45" t="s">
        <v>80</v>
      </c>
      <c r="C44" s="45" t="s">
        <v>150</v>
      </c>
      <c r="D44" s="45" t="s">
        <v>332</v>
      </c>
      <c r="E44" s="1" t="s">
        <v>159</v>
      </c>
      <c r="F44" s="394">
        <v>20000000</v>
      </c>
      <c r="G44" s="394">
        <v>20000000</v>
      </c>
      <c r="H44" s="264">
        <v>42228</v>
      </c>
      <c r="I44" s="264">
        <f>H44+35</f>
        <v>42263</v>
      </c>
      <c r="J44" s="359">
        <v>20000000</v>
      </c>
      <c r="K44" s="264">
        <f>H44+150</f>
        <v>42378</v>
      </c>
      <c r="L44" s="554">
        <v>20000000</v>
      </c>
      <c r="M44" s="334">
        <f>J44-L44</f>
        <v>0</v>
      </c>
      <c r="N44" s="12">
        <v>42530</v>
      </c>
      <c r="O44" s="488">
        <v>4583</v>
      </c>
    </row>
    <row r="45" spans="1:18" s="14" customFormat="1">
      <c r="A45" s="14">
        <v>4494</v>
      </c>
      <c r="B45" s="45" t="s">
        <v>80</v>
      </c>
      <c r="C45" s="45" t="s">
        <v>79</v>
      </c>
      <c r="D45" s="45" t="s">
        <v>227</v>
      </c>
      <c r="E45" s="1" t="s">
        <v>84</v>
      </c>
      <c r="F45" s="335">
        <v>18000000</v>
      </c>
      <c r="G45" s="335">
        <v>18000000</v>
      </c>
      <c r="H45" s="264">
        <v>42228</v>
      </c>
      <c r="I45" s="264">
        <f t="shared" ref="I45:I62" si="3">H45+35</f>
        <v>42263</v>
      </c>
      <c r="J45" s="335">
        <v>18000000</v>
      </c>
      <c r="K45" s="264">
        <f t="shared" ref="K45:K62" si="4">H45+150</f>
        <v>42378</v>
      </c>
      <c r="L45" s="73">
        <f>10000000+8000000</f>
        <v>18000000</v>
      </c>
      <c r="M45" s="492">
        <f t="shared" ref="M45:M60" si="5">J45-L45</f>
        <v>0</v>
      </c>
      <c r="N45" s="12">
        <v>42510</v>
      </c>
      <c r="O45" s="485">
        <v>4603</v>
      </c>
      <c r="P45" s="1">
        <v>4581</v>
      </c>
    </row>
    <row r="46" spans="1:18" s="1" customFormat="1">
      <c r="A46" s="14">
        <v>4495</v>
      </c>
      <c r="B46" s="45" t="s">
        <v>80</v>
      </c>
      <c r="C46" s="45" t="s">
        <v>229</v>
      </c>
      <c r="D46" s="45" t="s">
        <v>240</v>
      </c>
      <c r="E46" s="1" t="s">
        <v>230</v>
      </c>
      <c r="F46" s="335">
        <v>20000000</v>
      </c>
      <c r="G46" s="335">
        <v>20000000</v>
      </c>
      <c r="H46" s="3">
        <v>42229</v>
      </c>
      <c r="I46" s="264">
        <f t="shared" si="3"/>
        <v>42264</v>
      </c>
      <c r="J46" s="335">
        <v>20000000</v>
      </c>
      <c r="K46" s="264">
        <f t="shared" si="4"/>
        <v>42379</v>
      </c>
      <c r="L46" s="554">
        <v>20000000</v>
      </c>
      <c r="M46" s="492">
        <f t="shared" si="5"/>
        <v>0</v>
      </c>
      <c r="N46" s="12">
        <v>42693</v>
      </c>
      <c r="O46" s="488">
        <v>4663</v>
      </c>
    </row>
    <row r="47" spans="1:18" s="14" customFormat="1">
      <c r="A47" s="14">
        <v>4496</v>
      </c>
      <c r="B47" s="45" t="s">
        <v>80</v>
      </c>
      <c r="C47" s="1" t="s">
        <v>184</v>
      </c>
      <c r="D47" s="45" t="s">
        <v>231</v>
      </c>
      <c r="E47" s="1" t="s">
        <v>234</v>
      </c>
      <c r="F47" s="263">
        <v>18535000</v>
      </c>
      <c r="G47" s="263">
        <v>18535000</v>
      </c>
      <c r="H47" s="3">
        <v>42229</v>
      </c>
      <c r="I47" s="264">
        <f t="shared" si="3"/>
        <v>42264</v>
      </c>
      <c r="J47" s="263">
        <v>18535000</v>
      </c>
      <c r="K47" s="264">
        <f t="shared" si="4"/>
        <v>42379</v>
      </c>
      <c r="L47" s="73">
        <f>8300000+10235000</f>
        <v>18535000</v>
      </c>
      <c r="M47" s="492">
        <f t="shared" si="5"/>
        <v>0</v>
      </c>
      <c r="N47" s="12">
        <v>42532</v>
      </c>
      <c r="O47" s="485" t="s">
        <v>480</v>
      </c>
      <c r="Q47" s="57"/>
    </row>
    <row r="48" spans="1:18" s="14" customFormat="1">
      <c r="A48" s="14">
        <v>4497</v>
      </c>
      <c r="B48" s="45" t="s">
        <v>80</v>
      </c>
      <c r="C48" s="1" t="s">
        <v>184</v>
      </c>
      <c r="D48" s="45" t="s">
        <v>232</v>
      </c>
      <c r="E48" s="1" t="s">
        <v>234</v>
      </c>
      <c r="F48" s="263">
        <v>17730000</v>
      </c>
      <c r="G48" s="263">
        <v>17730000</v>
      </c>
      <c r="H48" s="3">
        <v>42229</v>
      </c>
      <c r="I48" s="264">
        <f t="shared" si="3"/>
        <v>42264</v>
      </c>
      <c r="J48" s="263">
        <v>17730000</v>
      </c>
      <c r="K48" s="264">
        <f t="shared" si="4"/>
        <v>42379</v>
      </c>
      <c r="L48" s="73">
        <v>17730000</v>
      </c>
      <c r="M48" s="492">
        <f t="shared" si="5"/>
        <v>0</v>
      </c>
      <c r="O48" s="485">
        <v>4561</v>
      </c>
      <c r="P48" s="459"/>
      <c r="Q48" s="57"/>
    </row>
    <row r="49" spans="1:17" s="14" customFormat="1">
      <c r="A49" s="14">
        <v>4498</v>
      </c>
      <c r="B49" s="45" t="s">
        <v>80</v>
      </c>
      <c r="C49" s="1" t="s">
        <v>184</v>
      </c>
      <c r="D49" s="45" t="s">
        <v>235</v>
      </c>
      <c r="E49" s="1" t="s">
        <v>236</v>
      </c>
      <c r="F49" s="263">
        <v>2855000</v>
      </c>
      <c r="G49" s="263">
        <v>2855000</v>
      </c>
      <c r="H49" s="3">
        <v>42229</v>
      </c>
      <c r="I49" s="264">
        <f t="shared" si="3"/>
        <v>42264</v>
      </c>
      <c r="J49" s="263">
        <v>2855000</v>
      </c>
      <c r="K49" s="264">
        <f t="shared" si="4"/>
        <v>42379</v>
      </c>
      <c r="L49" s="73">
        <v>2855000</v>
      </c>
      <c r="M49" s="492">
        <f t="shared" si="5"/>
        <v>0</v>
      </c>
      <c r="O49" s="485">
        <v>4561</v>
      </c>
      <c r="Q49" s="57"/>
    </row>
    <row r="50" spans="1:17" s="14" customFormat="1">
      <c r="A50" s="14">
        <v>4499</v>
      </c>
      <c r="B50" s="45" t="s">
        <v>80</v>
      </c>
      <c r="C50" s="45" t="s">
        <v>79</v>
      </c>
      <c r="D50" s="45" t="s">
        <v>237</v>
      </c>
      <c r="E50" s="1" t="s">
        <v>238</v>
      </c>
      <c r="F50" s="335">
        <v>10000000</v>
      </c>
      <c r="G50" s="335">
        <v>10000000</v>
      </c>
      <c r="H50" s="3">
        <v>42229</v>
      </c>
      <c r="I50" s="264">
        <f t="shared" si="3"/>
        <v>42264</v>
      </c>
      <c r="J50" s="335">
        <v>10000000</v>
      </c>
      <c r="K50" s="264">
        <f t="shared" si="4"/>
        <v>42379</v>
      </c>
      <c r="L50" s="73">
        <v>10000000</v>
      </c>
      <c r="M50" s="492">
        <f t="shared" si="5"/>
        <v>0</v>
      </c>
      <c r="N50" s="12">
        <v>42538</v>
      </c>
      <c r="O50" s="485">
        <v>4581</v>
      </c>
    </row>
    <row r="51" spans="1:17" s="14" customFormat="1">
      <c r="A51" s="384">
        <v>4500</v>
      </c>
      <c r="B51" s="45" t="s">
        <v>80</v>
      </c>
      <c r="C51" s="1" t="s">
        <v>219</v>
      </c>
      <c r="D51" s="364" t="s">
        <v>239</v>
      </c>
      <c r="E51" s="1" t="s">
        <v>83</v>
      </c>
      <c r="F51" s="305">
        <v>15000000</v>
      </c>
      <c r="G51" s="371">
        <v>15000000</v>
      </c>
      <c r="H51" s="3">
        <v>42230</v>
      </c>
      <c r="I51" s="264">
        <f t="shared" si="3"/>
        <v>42265</v>
      </c>
      <c r="J51" s="371">
        <v>15000000</v>
      </c>
      <c r="K51" s="264">
        <f t="shared" si="4"/>
        <v>42380</v>
      </c>
      <c r="L51" s="73">
        <v>15000000</v>
      </c>
      <c r="M51" s="492">
        <f t="shared" si="5"/>
        <v>0</v>
      </c>
      <c r="N51" s="12">
        <v>42551</v>
      </c>
      <c r="O51" s="489">
        <v>4546</v>
      </c>
    </row>
    <row r="52" spans="1:17" s="1" customFormat="1">
      <c r="A52" s="14">
        <v>4508</v>
      </c>
      <c r="B52" s="45" t="s">
        <v>86</v>
      </c>
      <c r="C52" s="250" t="s">
        <v>219</v>
      </c>
      <c r="D52" s="250" t="s">
        <v>220</v>
      </c>
      <c r="E52" s="224" t="s">
        <v>83</v>
      </c>
      <c r="F52" s="335">
        <v>30000000</v>
      </c>
      <c r="G52" s="335">
        <v>30000000</v>
      </c>
      <c r="H52" s="264">
        <v>42231</v>
      </c>
      <c r="I52" s="264">
        <f t="shared" si="3"/>
        <v>42266</v>
      </c>
      <c r="J52" s="335">
        <v>30000000</v>
      </c>
      <c r="K52" s="264">
        <f t="shared" si="4"/>
        <v>42381</v>
      </c>
      <c r="L52" s="73">
        <f>26250000+3750000</f>
        <v>30000000</v>
      </c>
      <c r="M52" s="492">
        <f t="shared" si="5"/>
        <v>0</v>
      </c>
      <c r="N52" s="379">
        <v>42381</v>
      </c>
      <c r="O52" s="486">
        <v>4546</v>
      </c>
      <c r="P52" s="3"/>
    </row>
    <row r="53" spans="1:17" s="1" customFormat="1">
      <c r="A53" s="14">
        <v>4511</v>
      </c>
      <c r="B53" s="45" t="s">
        <v>80</v>
      </c>
      <c r="C53" s="250" t="s">
        <v>150</v>
      </c>
      <c r="D53" s="250" t="s">
        <v>251</v>
      </c>
      <c r="E53" s="224" t="s">
        <v>151</v>
      </c>
      <c r="F53" s="365">
        <v>50000000</v>
      </c>
      <c r="G53" s="365">
        <v>50000000</v>
      </c>
      <c r="H53" s="3">
        <v>42235</v>
      </c>
      <c r="I53" s="3">
        <f t="shared" si="3"/>
        <v>42270</v>
      </c>
      <c r="J53" s="305">
        <v>45000000</v>
      </c>
      <c r="K53" s="3">
        <f t="shared" si="4"/>
        <v>42385</v>
      </c>
      <c r="L53" s="73">
        <f>18387000+20000000+6613000</f>
        <v>45000000</v>
      </c>
      <c r="M53" s="492">
        <f t="shared" si="5"/>
        <v>0</v>
      </c>
      <c r="N53" s="379">
        <v>42530</v>
      </c>
      <c r="O53" s="486">
        <v>4583</v>
      </c>
      <c r="P53" s="1">
        <v>4589</v>
      </c>
      <c r="Q53" s="1">
        <v>4653</v>
      </c>
    </row>
    <row r="54" spans="1:17" s="1" customFormat="1">
      <c r="A54" s="14">
        <v>4512</v>
      </c>
      <c r="B54" s="45" t="s">
        <v>80</v>
      </c>
      <c r="C54" s="250" t="s">
        <v>79</v>
      </c>
      <c r="D54" s="250" t="s">
        <v>252</v>
      </c>
      <c r="E54" s="224" t="s">
        <v>151</v>
      </c>
      <c r="F54" s="365">
        <v>41000000</v>
      </c>
      <c r="G54" s="365">
        <v>41000000</v>
      </c>
      <c r="H54" s="3">
        <v>42235</v>
      </c>
      <c r="I54" s="3">
        <f t="shared" si="3"/>
        <v>42270</v>
      </c>
      <c r="J54" s="365">
        <v>41000000</v>
      </c>
      <c r="K54" s="3">
        <f t="shared" si="4"/>
        <v>42385</v>
      </c>
      <c r="L54" s="73">
        <f>23000000+18000000</f>
        <v>41000000</v>
      </c>
      <c r="M54" s="492">
        <f t="shared" si="5"/>
        <v>0</v>
      </c>
      <c r="N54" s="3">
        <v>42538</v>
      </c>
      <c r="O54" s="488">
        <v>4581</v>
      </c>
      <c r="P54" s="1">
        <v>4609</v>
      </c>
    </row>
    <row r="55" spans="1:17" s="467" customFormat="1">
      <c r="A55" s="461">
        <v>4515</v>
      </c>
      <c r="B55" s="462" t="s">
        <v>80</v>
      </c>
      <c r="C55" s="463" t="s">
        <v>184</v>
      </c>
      <c r="D55" s="463" t="s">
        <v>264</v>
      </c>
      <c r="E55" s="464" t="s">
        <v>211</v>
      </c>
      <c r="F55" s="395">
        <v>40000000</v>
      </c>
      <c r="G55" s="395">
        <v>40000000</v>
      </c>
      <c r="H55" s="465">
        <v>42235</v>
      </c>
      <c r="I55" s="465">
        <f>H55+35</f>
        <v>42270</v>
      </c>
      <c r="J55" s="395">
        <v>8300000</v>
      </c>
      <c r="K55" s="465">
        <f>H55+150</f>
        <v>42385</v>
      </c>
      <c r="L55" s="73">
        <f>5122000+3178000</f>
        <v>8300000</v>
      </c>
      <c r="M55" s="555">
        <f t="shared" si="5"/>
        <v>0</v>
      </c>
      <c r="N55" s="466" t="s">
        <v>333</v>
      </c>
      <c r="O55" s="490">
        <v>4561</v>
      </c>
      <c r="P55" s="467">
        <v>4615</v>
      </c>
    </row>
    <row r="56" spans="1:17" s="1" customFormat="1">
      <c r="A56" s="14">
        <v>4518</v>
      </c>
      <c r="B56" s="45" t="s">
        <v>86</v>
      </c>
      <c r="C56" s="250" t="s">
        <v>260</v>
      </c>
      <c r="D56" s="250" t="s">
        <v>257</v>
      </c>
      <c r="E56" s="224" t="s">
        <v>83</v>
      </c>
      <c r="F56" s="365">
        <v>10000000</v>
      </c>
      <c r="G56" s="365">
        <v>10000000</v>
      </c>
      <c r="H56" s="3">
        <v>42251</v>
      </c>
      <c r="I56" s="3">
        <f>H56+35</f>
        <v>42286</v>
      </c>
      <c r="J56" s="365">
        <v>10000000</v>
      </c>
      <c r="K56" s="3">
        <f>H56+150</f>
        <v>42401</v>
      </c>
      <c r="L56" s="91">
        <v>10000000</v>
      </c>
      <c r="M56" s="492">
        <f t="shared" si="5"/>
        <v>0</v>
      </c>
      <c r="N56" s="379">
        <v>42399</v>
      </c>
      <c r="O56" s="486"/>
    </row>
    <row r="57" spans="1:17" s="1" customFormat="1">
      <c r="A57" s="14">
        <v>4519</v>
      </c>
      <c r="B57" s="45" t="s">
        <v>80</v>
      </c>
      <c r="C57" s="250" t="s">
        <v>81</v>
      </c>
      <c r="D57" s="250" t="s">
        <v>263</v>
      </c>
      <c r="E57" s="224" t="s">
        <v>82</v>
      </c>
      <c r="F57" s="365">
        <v>15000000</v>
      </c>
      <c r="G57" s="365">
        <v>15000000</v>
      </c>
      <c r="H57" s="3">
        <v>42251</v>
      </c>
      <c r="I57" s="3">
        <f>H57+35</f>
        <v>42286</v>
      </c>
      <c r="J57" s="365">
        <v>15000000</v>
      </c>
      <c r="K57" s="3">
        <f>H57+150</f>
        <v>42401</v>
      </c>
      <c r="L57" s="91">
        <v>15000000</v>
      </c>
      <c r="M57" s="492">
        <f t="shared" si="5"/>
        <v>0</v>
      </c>
      <c r="N57" s="379">
        <v>42721</v>
      </c>
      <c r="O57" s="486">
        <v>4658</v>
      </c>
    </row>
    <row r="58" spans="1:17" s="1" customFormat="1">
      <c r="A58" s="14">
        <v>4521</v>
      </c>
      <c r="B58" s="45" t="s">
        <v>80</v>
      </c>
      <c r="C58" s="250" t="s">
        <v>219</v>
      </c>
      <c r="D58" s="250" t="s">
        <v>255</v>
      </c>
      <c r="E58" s="224" t="s">
        <v>256</v>
      </c>
      <c r="F58" s="365">
        <v>34000000</v>
      </c>
      <c r="G58" s="365">
        <v>34000000</v>
      </c>
      <c r="H58" s="3">
        <v>42265</v>
      </c>
      <c r="I58" s="3">
        <f t="shared" si="3"/>
        <v>42300</v>
      </c>
      <c r="J58" s="365">
        <v>34000000</v>
      </c>
      <c r="K58" s="3">
        <f t="shared" si="4"/>
        <v>42415</v>
      </c>
      <c r="L58" s="492">
        <v>34000000</v>
      </c>
      <c r="M58" s="492">
        <f t="shared" si="5"/>
        <v>0</v>
      </c>
      <c r="N58" s="1">
        <v>4569</v>
      </c>
      <c r="O58" s="488"/>
    </row>
    <row r="59" spans="1:17" s="467" customFormat="1">
      <c r="A59" s="461">
        <v>4522</v>
      </c>
      <c r="B59" s="462" t="s">
        <v>80</v>
      </c>
      <c r="C59" s="463" t="s">
        <v>89</v>
      </c>
      <c r="D59" s="463" t="s">
        <v>218</v>
      </c>
      <c r="E59" s="464" t="s">
        <v>151</v>
      </c>
      <c r="F59" s="395">
        <v>25000000</v>
      </c>
      <c r="G59" s="395">
        <v>25000000</v>
      </c>
      <c r="H59" s="465">
        <v>42266</v>
      </c>
      <c r="I59" s="465">
        <f>H59+35</f>
        <v>42301</v>
      </c>
      <c r="J59" s="395">
        <v>25000000</v>
      </c>
      <c r="K59" s="465">
        <f>H59+150</f>
        <v>42416</v>
      </c>
      <c r="L59" s="473">
        <v>0</v>
      </c>
      <c r="M59" s="556">
        <v>0</v>
      </c>
      <c r="N59" s="466" t="s">
        <v>333</v>
      </c>
      <c r="O59" s="491"/>
    </row>
    <row r="60" spans="1:17" s="1" customFormat="1">
      <c r="A60" s="14">
        <v>4523</v>
      </c>
      <c r="B60" s="45" t="s">
        <v>80</v>
      </c>
      <c r="C60" s="250" t="s">
        <v>202</v>
      </c>
      <c r="D60" s="250" t="s">
        <v>265</v>
      </c>
      <c r="E60" s="224" t="s">
        <v>85</v>
      </c>
      <c r="F60" s="365">
        <v>50000000</v>
      </c>
      <c r="G60" s="365">
        <v>50000000</v>
      </c>
      <c r="H60" s="3">
        <v>42273</v>
      </c>
      <c r="I60" s="3">
        <f t="shared" si="3"/>
        <v>42308</v>
      </c>
      <c r="J60" s="305">
        <v>50000000</v>
      </c>
      <c r="K60" s="3">
        <f t="shared" si="4"/>
        <v>42423</v>
      </c>
      <c r="L60" s="259">
        <f>33000000+17000000</f>
        <v>50000000</v>
      </c>
      <c r="M60" s="492">
        <f t="shared" si="5"/>
        <v>0</v>
      </c>
      <c r="N60" s="3">
        <v>42536</v>
      </c>
      <c r="O60" s="488">
        <v>4545</v>
      </c>
      <c r="P60" s="1">
        <v>4532</v>
      </c>
    </row>
    <row r="61" spans="1:17" s="1" customFormat="1">
      <c r="A61" s="14">
        <v>4524</v>
      </c>
      <c r="B61" s="45" t="s">
        <v>86</v>
      </c>
      <c r="C61" s="250" t="s">
        <v>150</v>
      </c>
      <c r="D61" s="250" t="s">
        <v>270</v>
      </c>
      <c r="E61" s="224" t="s">
        <v>83</v>
      </c>
      <c r="F61" s="365">
        <v>45000000</v>
      </c>
      <c r="G61" s="365">
        <v>45000000</v>
      </c>
      <c r="H61" s="3">
        <v>42273</v>
      </c>
      <c r="I61" s="3">
        <f t="shared" si="3"/>
        <v>42308</v>
      </c>
      <c r="J61" s="365">
        <v>45000000</v>
      </c>
      <c r="K61" s="3">
        <f t="shared" si="4"/>
        <v>42423</v>
      </c>
      <c r="L61" s="91">
        <v>45000000</v>
      </c>
      <c r="M61" s="492">
        <f>J61-L61</f>
        <v>0</v>
      </c>
      <c r="N61" s="379">
        <v>42423</v>
      </c>
      <c r="O61" s="486"/>
    </row>
    <row r="62" spans="1:17" s="1" customFormat="1">
      <c r="A62" s="14">
        <v>4526</v>
      </c>
      <c r="B62" s="45" t="s">
        <v>86</v>
      </c>
      <c r="C62" s="250" t="s">
        <v>260</v>
      </c>
      <c r="D62" s="250" t="s">
        <v>266</v>
      </c>
      <c r="E62" s="224" t="s">
        <v>83</v>
      </c>
      <c r="F62" s="365">
        <v>35000000</v>
      </c>
      <c r="G62" s="365">
        <v>35000000</v>
      </c>
      <c r="H62" s="3">
        <v>42273</v>
      </c>
      <c r="I62" s="3">
        <f t="shared" si="3"/>
        <v>42308</v>
      </c>
      <c r="J62" s="365">
        <v>35000000</v>
      </c>
      <c r="K62" s="3">
        <f t="shared" si="4"/>
        <v>42423</v>
      </c>
      <c r="L62" s="91">
        <v>35000000</v>
      </c>
      <c r="M62" s="492">
        <f>J62-L62</f>
        <v>0</v>
      </c>
      <c r="N62" s="379">
        <v>42399</v>
      </c>
      <c r="O62" s="486"/>
    </row>
    <row r="63" spans="1:17" s="467" customFormat="1">
      <c r="A63" s="461">
        <v>4528</v>
      </c>
      <c r="B63" s="462" t="s">
        <v>80</v>
      </c>
      <c r="C63" s="463" t="s">
        <v>157</v>
      </c>
      <c r="D63" s="463" t="s">
        <v>203</v>
      </c>
      <c r="E63" s="464" t="s">
        <v>88</v>
      </c>
      <c r="F63" s="395">
        <v>30000000</v>
      </c>
      <c r="G63" s="395">
        <v>30000000</v>
      </c>
      <c r="H63" s="465">
        <v>42291</v>
      </c>
      <c r="I63" s="465">
        <f>H63+35</f>
        <v>42326</v>
      </c>
      <c r="J63" s="395">
        <v>22000000</v>
      </c>
      <c r="K63" s="465">
        <f>H63+150</f>
        <v>42441</v>
      </c>
      <c r="L63" s="10">
        <v>16143638</v>
      </c>
      <c r="M63" s="492">
        <f>J63-L63</f>
        <v>5856362</v>
      </c>
      <c r="N63" s="530">
        <v>42648</v>
      </c>
      <c r="O63" s="491">
        <v>4640</v>
      </c>
    </row>
    <row r="64" spans="1:17" s="1" customFormat="1">
      <c r="A64" s="14"/>
      <c r="B64" s="45"/>
      <c r="C64" s="250"/>
      <c r="D64" s="250"/>
      <c r="E64" s="250"/>
      <c r="F64" s="91"/>
      <c r="G64" s="91"/>
      <c r="H64" s="3"/>
      <c r="I64" s="3"/>
      <c r="J64" s="10"/>
      <c r="K64" s="3"/>
      <c r="L64" s="259"/>
      <c r="M64" s="259"/>
      <c r="O64" s="488"/>
    </row>
    <row r="65" spans="1:15" s="1" customFormat="1">
      <c r="A65" s="14"/>
      <c r="B65" s="45"/>
      <c r="C65" s="250"/>
      <c r="D65" s="250"/>
      <c r="E65" s="250"/>
      <c r="F65" s="91"/>
      <c r="G65" s="91"/>
      <c r="H65" s="3"/>
      <c r="I65" s="3"/>
      <c r="J65" s="98">
        <f>SUM(J44:J64)</f>
        <v>482420000</v>
      </c>
      <c r="K65" s="8"/>
      <c r="L65" s="98">
        <f>SUM(L44:L64)</f>
        <v>451563638</v>
      </c>
      <c r="M65" s="98">
        <f>SUM(M44:M64)</f>
        <v>5856362</v>
      </c>
      <c r="O65" s="488"/>
    </row>
    <row r="66" spans="1:15">
      <c r="F66" s="319"/>
      <c r="G66" s="319"/>
      <c r="H66" s="319"/>
      <c r="I66" s="319"/>
      <c r="J66" s="319"/>
      <c r="K66" s="319"/>
      <c r="L66" s="343"/>
      <c r="M66" s="343"/>
    </row>
    <row r="67" spans="1:15">
      <c r="A67" s="353" t="s">
        <v>63</v>
      </c>
      <c r="F67" s="319"/>
      <c r="G67" s="334"/>
      <c r="H67" s="264"/>
      <c r="I67" s="319"/>
      <c r="J67" s="319"/>
      <c r="K67" s="319"/>
    </row>
    <row r="68" spans="1:15" s="1" customFormat="1">
      <c r="A68" s="14">
        <v>4529</v>
      </c>
      <c r="B68" s="45" t="s">
        <v>80</v>
      </c>
      <c r="C68" s="250" t="s">
        <v>90</v>
      </c>
      <c r="D68" s="250" t="s">
        <v>274</v>
      </c>
      <c r="E68" s="250" t="s">
        <v>259</v>
      </c>
      <c r="F68" s="334">
        <v>300000000</v>
      </c>
      <c r="G68" s="334">
        <v>94030000</v>
      </c>
      <c r="H68" s="264">
        <v>42322</v>
      </c>
      <c r="I68" s="264">
        <f>H68+35</f>
        <v>42357</v>
      </c>
      <c r="J68" s="334">
        <v>94030000</v>
      </c>
      <c r="K68" s="264">
        <f>H68+120</f>
        <v>42442</v>
      </c>
      <c r="L68" s="2">
        <f>50400000+43630000</f>
        <v>94030000</v>
      </c>
      <c r="M68" s="91">
        <f>J68-L68</f>
        <v>0</v>
      </c>
      <c r="N68" s="379">
        <v>42518</v>
      </c>
      <c r="O68" s="486" t="s">
        <v>466</v>
      </c>
    </row>
    <row r="70" spans="1:15">
      <c r="I70" s="354"/>
      <c r="J70" s="98">
        <f>SUM(J68:J69)</f>
        <v>94030000</v>
      </c>
      <c r="K70" s="326"/>
      <c r="L70" s="98">
        <f>SUM(L68:L69)</f>
        <v>94030000</v>
      </c>
      <c r="M70" s="98">
        <f>SUM(M68:M69)</f>
        <v>0</v>
      </c>
    </row>
    <row r="71" spans="1:15">
      <c r="I71" s="354"/>
    </row>
    <row r="73" spans="1:15">
      <c r="H73" s="3"/>
    </row>
    <row r="76" spans="1:15" ht="12.75" thickBot="1">
      <c r="M76" s="494">
        <f>M70+M65+M40+M18</f>
        <v>837424700.89999998</v>
      </c>
    </row>
    <row r="77" spans="1:15" ht="12.75" thickTop="1"/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10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6" sqref="B6"/>
    </sheetView>
  </sheetViews>
  <sheetFormatPr defaultColWidth="9" defaultRowHeight="12"/>
  <cols>
    <col min="1" max="1" width="24" bestFit="1" customWidth="1"/>
    <col min="2" max="2" width="18" customWidth="1"/>
    <col min="3" max="3" width="15.85546875" bestFit="1" customWidth="1"/>
    <col min="4" max="4" width="15.140625" customWidth="1"/>
    <col min="5" max="6" width="15.5703125" bestFit="1" customWidth="1"/>
    <col min="7" max="9" width="14.5703125" bestFit="1" customWidth="1"/>
    <col min="10" max="12" width="17.42578125" bestFit="1" customWidth="1"/>
    <col min="13" max="14" width="15.140625" bestFit="1" customWidth="1"/>
    <col min="15" max="15" width="14.5703125" bestFit="1" customWidth="1"/>
    <col min="16" max="21" width="12.85546875" bestFit="1" customWidth="1"/>
  </cols>
  <sheetData>
    <row r="1" spans="1:21">
      <c r="B1" s="5">
        <v>2020</v>
      </c>
      <c r="C1" s="5">
        <v>2019</v>
      </c>
      <c r="D1" s="5">
        <v>2018</v>
      </c>
      <c r="E1" s="5">
        <v>2017</v>
      </c>
      <c r="F1" s="5">
        <v>2016</v>
      </c>
      <c r="G1" s="5">
        <v>2015</v>
      </c>
      <c r="H1" s="5">
        <v>2014</v>
      </c>
      <c r="I1" s="5">
        <v>2013</v>
      </c>
      <c r="J1" s="5">
        <v>2012</v>
      </c>
      <c r="K1" s="5">
        <v>2011</v>
      </c>
      <c r="L1" s="5">
        <v>2010</v>
      </c>
      <c r="M1" s="403">
        <v>2009</v>
      </c>
      <c r="N1" s="403">
        <v>2008</v>
      </c>
      <c r="O1" s="403">
        <v>2007</v>
      </c>
      <c r="P1" s="403">
        <v>2006</v>
      </c>
      <c r="Q1" s="403">
        <v>2005</v>
      </c>
      <c r="R1" s="403">
        <v>2004</v>
      </c>
      <c r="S1" s="403">
        <v>2003</v>
      </c>
      <c r="T1" s="403" t="s">
        <v>138</v>
      </c>
      <c r="U1" s="403" t="s">
        <v>139</v>
      </c>
    </row>
    <row r="2" spans="1:21" ht="12.75" thickBot="1">
      <c r="B2" s="5" t="s">
        <v>108</v>
      </c>
      <c r="C2" s="5" t="s">
        <v>108</v>
      </c>
      <c r="D2" s="5" t="s">
        <v>108</v>
      </c>
      <c r="E2" s="5" t="s">
        <v>108</v>
      </c>
      <c r="F2" s="5" t="s">
        <v>108</v>
      </c>
      <c r="G2" s="5" t="s">
        <v>108</v>
      </c>
      <c r="H2" s="5" t="s">
        <v>108</v>
      </c>
      <c r="I2" s="5" t="s">
        <v>108</v>
      </c>
      <c r="J2" s="5" t="s">
        <v>108</v>
      </c>
      <c r="K2" s="5" t="s">
        <v>108</v>
      </c>
      <c r="L2" s="5" t="s">
        <v>108</v>
      </c>
      <c r="M2" s="404" t="s">
        <v>108</v>
      </c>
      <c r="N2" s="404" t="s">
        <v>108</v>
      </c>
      <c r="O2" s="89" t="s">
        <v>108</v>
      </c>
      <c r="P2" s="404" t="s">
        <v>108</v>
      </c>
      <c r="Q2" s="404" t="s">
        <v>108</v>
      </c>
      <c r="R2" s="404" t="s">
        <v>108</v>
      </c>
      <c r="S2" s="404" t="s">
        <v>108</v>
      </c>
    </row>
    <row r="3" spans="1:21">
      <c r="A3" s="405" t="s">
        <v>109</v>
      </c>
      <c r="B3" s="455">
        <f>Totals!B8</f>
        <v>3044567505</v>
      </c>
      <c r="C3" s="406">
        <v>3013693725</v>
      </c>
      <c r="D3" s="406">
        <v>2971982580</v>
      </c>
      <c r="E3" s="406">
        <v>2786259600</v>
      </c>
      <c r="F3" s="407">
        <v>2746911400</v>
      </c>
      <c r="G3" s="407">
        <v>2695695800</v>
      </c>
      <c r="H3" s="408">
        <v>2644819300</v>
      </c>
      <c r="I3" s="407">
        <v>2475624285</v>
      </c>
      <c r="J3" s="409">
        <v>2439094695</v>
      </c>
      <c r="K3" s="409">
        <v>2388828295</v>
      </c>
      <c r="L3" s="410">
        <v>2230407180</v>
      </c>
      <c r="M3" s="406">
        <v>2189427660</v>
      </c>
      <c r="N3" s="406">
        <v>2031872300</v>
      </c>
      <c r="O3" s="411">
        <v>1998161555</v>
      </c>
      <c r="P3" s="201">
        <v>1828797440</v>
      </c>
      <c r="Q3" s="412">
        <v>1799201760</v>
      </c>
      <c r="R3" s="412">
        <v>1769480721</v>
      </c>
      <c r="S3" s="413">
        <v>1633491975</v>
      </c>
      <c r="T3" s="201">
        <v>1599376350</v>
      </c>
      <c r="U3" s="414">
        <v>1303238750</v>
      </c>
    </row>
    <row r="4" spans="1:21">
      <c r="A4" s="290" t="s">
        <v>110</v>
      </c>
      <c r="B4" s="128">
        <f>SUM(C44:C47)</f>
        <v>3375990905.0444999</v>
      </c>
      <c r="C4" s="128">
        <v>3859636297.79</v>
      </c>
      <c r="D4" s="128">
        <v>3309406951.9200001</v>
      </c>
      <c r="E4" s="128">
        <v>4848200159.04</v>
      </c>
      <c r="F4" s="128">
        <v>3814503629.1999998</v>
      </c>
      <c r="G4" s="291">
        <v>3765710513</v>
      </c>
      <c r="H4" s="128">
        <v>2632133224.8000002</v>
      </c>
      <c r="I4" s="128">
        <v>2242234046.5999999</v>
      </c>
      <c r="J4" s="415">
        <v>2951305638.4499998</v>
      </c>
      <c r="K4" s="415">
        <v>3300803953.3000002</v>
      </c>
      <c r="L4" s="383">
        <v>3176726243.5500002</v>
      </c>
      <c r="M4" s="128">
        <v>2279707954.3499999</v>
      </c>
      <c r="N4" s="128">
        <v>729155910.35000002</v>
      </c>
      <c r="O4" s="252">
        <v>707913757.5</v>
      </c>
      <c r="P4" s="252">
        <v>940721729</v>
      </c>
      <c r="Q4" s="252">
        <v>799457756.54999995</v>
      </c>
      <c r="R4" s="292">
        <v>385204031</v>
      </c>
      <c r="S4" s="416">
        <v>192694519</v>
      </c>
      <c r="T4" s="97">
        <v>63200000</v>
      </c>
      <c r="U4" s="417">
        <v>19066155</v>
      </c>
    </row>
    <row r="5" spans="1:21" ht="12.75" thickBot="1">
      <c r="A5" s="418" t="s">
        <v>111</v>
      </c>
      <c r="B5" s="561">
        <f>SUM(B3:B4)</f>
        <v>6420558410.0445004</v>
      </c>
      <c r="C5" s="419">
        <v>6873330022.79</v>
      </c>
      <c r="D5" s="419">
        <v>6281389531.9200001</v>
      </c>
      <c r="E5" s="419">
        <v>7634459759.04</v>
      </c>
      <c r="F5" s="420">
        <v>6561415029.1999998</v>
      </c>
      <c r="G5" s="421">
        <v>6461406313</v>
      </c>
      <c r="H5" s="421">
        <v>5276952524.8000002</v>
      </c>
      <c r="I5" s="421">
        <v>4717858331.6000004</v>
      </c>
      <c r="J5" s="422">
        <v>5390400333.4499998</v>
      </c>
      <c r="K5" s="422">
        <v>5689632248.3000002</v>
      </c>
      <c r="L5" s="422">
        <v>5407133423.5500002</v>
      </c>
      <c r="M5" s="423">
        <v>4469135614.3500004</v>
      </c>
      <c r="N5" s="424">
        <v>2761028210.3499999</v>
      </c>
      <c r="O5" s="425">
        <v>2706075312.5</v>
      </c>
      <c r="P5" s="425">
        <v>2769519169</v>
      </c>
      <c r="Q5" s="425">
        <v>2598659516.5500002</v>
      </c>
      <c r="R5" s="425">
        <v>2154684752</v>
      </c>
      <c r="S5" s="426">
        <v>1826186494</v>
      </c>
      <c r="T5" s="425">
        <v>1662576350</v>
      </c>
      <c r="U5" s="426">
        <v>1322304905</v>
      </c>
    </row>
    <row r="6" spans="1:21">
      <c r="A6" s="290"/>
      <c r="B6" s="91"/>
      <c r="C6" s="70"/>
      <c r="D6" s="70"/>
      <c r="E6" s="70"/>
      <c r="F6" s="70"/>
      <c r="G6" s="427"/>
      <c r="H6" s="428"/>
      <c r="I6" s="428"/>
      <c r="J6" s="70"/>
      <c r="K6" s="70"/>
      <c r="L6" s="70"/>
      <c r="M6" s="70"/>
      <c r="N6" s="70"/>
      <c r="O6" s="128"/>
      <c r="P6" s="128"/>
      <c r="Q6" s="292"/>
      <c r="R6" s="292"/>
      <c r="S6" s="416"/>
      <c r="T6" s="97"/>
      <c r="U6" s="429"/>
    </row>
    <row r="7" spans="1:21" ht="12.75" thickBot="1">
      <c r="A7" s="418"/>
      <c r="B7" s="541"/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20"/>
      <c r="P7" s="420"/>
      <c r="Q7" s="431"/>
      <c r="R7" s="431"/>
      <c r="S7" s="432"/>
      <c r="T7" s="97"/>
      <c r="U7" s="429"/>
    </row>
    <row r="8" spans="1:21">
      <c r="A8" s="290" t="s">
        <v>112</v>
      </c>
      <c r="B8" s="128">
        <v>0</v>
      </c>
      <c r="C8" s="128"/>
      <c r="D8" s="128">
        <v>0</v>
      </c>
      <c r="E8" s="252">
        <v>0</v>
      </c>
      <c r="F8" s="252">
        <v>0</v>
      </c>
      <c r="G8" s="252">
        <v>0</v>
      </c>
      <c r="H8" s="252">
        <v>0</v>
      </c>
      <c r="I8" s="252">
        <v>0</v>
      </c>
      <c r="J8" s="252">
        <v>0</v>
      </c>
      <c r="K8" s="252">
        <v>10842500</v>
      </c>
      <c r="L8" s="128">
        <v>0</v>
      </c>
      <c r="M8" s="383"/>
      <c r="N8" s="252">
        <v>0</v>
      </c>
      <c r="O8" s="252">
        <v>491236593.5</v>
      </c>
      <c r="P8" s="252">
        <v>467057690.5</v>
      </c>
      <c r="Q8" s="292">
        <v>75815311</v>
      </c>
      <c r="R8" s="292">
        <v>303875370</v>
      </c>
      <c r="S8" s="416">
        <v>166861717</v>
      </c>
      <c r="T8" s="97">
        <v>453396662</v>
      </c>
      <c r="U8" s="429">
        <v>418475905</v>
      </c>
    </row>
    <row r="9" spans="1:21">
      <c r="A9" s="374" t="s">
        <v>113</v>
      </c>
      <c r="B9" s="252">
        <f>'2019 CF'!P31+'2019 CF'!O32</f>
        <v>184997155</v>
      </c>
      <c r="C9" s="207"/>
      <c r="D9" s="207"/>
      <c r="E9" s="252"/>
      <c r="F9" s="252">
        <v>31510000</v>
      </c>
      <c r="G9" s="252">
        <v>19870000</v>
      </c>
      <c r="H9" s="252">
        <v>0</v>
      </c>
      <c r="I9" s="252">
        <v>0</v>
      </c>
      <c r="J9" s="252">
        <v>78070000</v>
      </c>
      <c r="K9" s="252">
        <v>562402275</v>
      </c>
      <c r="L9" s="252">
        <v>0</v>
      </c>
      <c r="M9" s="252">
        <v>51276200</v>
      </c>
      <c r="N9" s="252"/>
      <c r="O9" s="252">
        <v>76750929</v>
      </c>
      <c r="P9" s="252">
        <v>34450000</v>
      </c>
      <c r="Q9" s="292">
        <v>0</v>
      </c>
      <c r="R9" s="292">
        <v>0</v>
      </c>
      <c r="S9" s="416">
        <v>10450000</v>
      </c>
      <c r="T9" s="97">
        <v>0</v>
      </c>
      <c r="U9" s="429">
        <v>0</v>
      </c>
    </row>
    <row r="10" spans="1:21">
      <c r="A10" s="374" t="s">
        <v>114</v>
      </c>
      <c r="B10" s="252">
        <v>0</v>
      </c>
      <c r="C10" s="207"/>
      <c r="D10" s="207"/>
      <c r="E10" s="252">
        <v>0</v>
      </c>
      <c r="F10" s="252">
        <v>0</v>
      </c>
      <c r="G10" s="252">
        <v>0</v>
      </c>
      <c r="H10" s="252">
        <v>0</v>
      </c>
      <c r="I10" s="252">
        <v>0</v>
      </c>
      <c r="J10" s="252">
        <v>0</v>
      </c>
      <c r="K10" s="252">
        <v>0</v>
      </c>
      <c r="L10" s="252">
        <v>0</v>
      </c>
      <c r="M10" s="252">
        <v>30000000</v>
      </c>
      <c r="N10" s="252"/>
      <c r="O10" s="252"/>
      <c r="P10" s="252"/>
      <c r="Q10" s="292"/>
      <c r="R10" s="292"/>
      <c r="S10" s="416"/>
      <c r="T10" s="97"/>
      <c r="U10" s="429"/>
    </row>
    <row r="11" spans="1:21">
      <c r="A11" s="290" t="s">
        <v>115</v>
      </c>
      <c r="B11" s="128">
        <v>0</v>
      </c>
      <c r="C11" s="128">
        <v>10153000</v>
      </c>
      <c r="D11" s="128">
        <v>15000000</v>
      </c>
      <c r="E11" s="128">
        <v>918015268.89999998</v>
      </c>
      <c r="F11" s="128">
        <v>260068279.56</v>
      </c>
      <c r="G11" s="128">
        <v>57500000</v>
      </c>
      <c r="H11" s="291">
        <v>31266000</v>
      </c>
      <c r="I11" s="128">
        <v>335757940</v>
      </c>
      <c r="J11" s="252">
        <v>228831078</v>
      </c>
      <c r="K11" s="252">
        <v>95000000</v>
      </c>
      <c r="L11" s="128">
        <v>66142544</v>
      </c>
      <c r="M11" s="128">
        <v>54664820</v>
      </c>
      <c r="N11" s="252">
        <v>99000000</v>
      </c>
      <c r="O11" s="252">
        <v>59300014</v>
      </c>
      <c r="P11" s="252">
        <v>104136159</v>
      </c>
      <c r="Q11" s="292">
        <v>197530000</v>
      </c>
      <c r="R11" s="292">
        <v>48528775</v>
      </c>
      <c r="S11" s="416">
        <v>94209746</v>
      </c>
      <c r="T11" s="97">
        <v>0</v>
      </c>
      <c r="U11" s="429">
        <v>0</v>
      </c>
    </row>
    <row r="12" spans="1:21">
      <c r="A12" s="374" t="s">
        <v>113</v>
      </c>
      <c r="B12" s="252">
        <f>'2018 CF'!L31+'2019 CF'!L40-B9</f>
        <v>1214999246.9245</v>
      </c>
      <c r="C12" s="252">
        <v>1818210608.55</v>
      </c>
      <c r="D12" s="252">
        <v>713413832.36000001</v>
      </c>
      <c r="E12" s="252">
        <v>2111916905.6700001</v>
      </c>
      <c r="F12" s="252">
        <v>50000000</v>
      </c>
      <c r="G12" s="252">
        <v>1224590213</v>
      </c>
      <c r="H12" s="293">
        <v>695266000</v>
      </c>
      <c r="I12" s="252">
        <v>340000000</v>
      </c>
      <c r="J12" s="252">
        <v>455105100</v>
      </c>
      <c r="K12" s="252">
        <v>249003434</v>
      </c>
      <c r="L12" s="252">
        <v>333000000</v>
      </c>
      <c r="M12" s="252">
        <v>190356000</v>
      </c>
      <c r="N12" s="252">
        <v>35240000</v>
      </c>
      <c r="O12" s="252">
        <v>0</v>
      </c>
      <c r="P12" s="252">
        <v>12629000</v>
      </c>
      <c r="Q12" s="292">
        <v>0</v>
      </c>
      <c r="R12" s="292">
        <v>0</v>
      </c>
      <c r="S12" s="416">
        <v>0</v>
      </c>
      <c r="T12" s="97">
        <v>0</v>
      </c>
      <c r="U12" s="429">
        <v>0</v>
      </c>
    </row>
    <row r="13" spans="1:21">
      <c r="A13" s="374" t="s">
        <v>114</v>
      </c>
      <c r="B13" s="252">
        <v>0</v>
      </c>
      <c r="C13" s="207"/>
      <c r="D13" s="207"/>
      <c r="E13" s="252">
        <v>0</v>
      </c>
      <c r="F13" s="252"/>
      <c r="G13" s="252">
        <v>0</v>
      </c>
      <c r="H13" s="252">
        <v>0</v>
      </c>
      <c r="I13" s="252">
        <v>0</v>
      </c>
      <c r="J13" s="252">
        <v>0</v>
      </c>
      <c r="K13" s="252">
        <v>0</v>
      </c>
      <c r="L13" s="252">
        <v>398500000</v>
      </c>
      <c r="M13" s="252">
        <v>235800000</v>
      </c>
      <c r="N13" s="252"/>
      <c r="O13" s="252"/>
      <c r="P13" s="252"/>
      <c r="Q13" s="292"/>
      <c r="R13" s="292"/>
      <c r="S13" s="416"/>
      <c r="T13" s="97"/>
      <c r="U13" s="429"/>
    </row>
    <row r="14" spans="1:21">
      <c r="A14" s="290" t="s">
        <v>116</v>
      </c>
      <c r="B14" s="80">
        <f>'SC4 TSAHC'!L19+'SC4 MF- TDHCA'!L29+'SC4 MF- Local Collapse'!L44+'REGION 1'!L9+'REGION 2'!L8+'REGION 3'!L15+'REGION 4'!L8+'REGION 5'!L8+'REGION 6'!L16+'REGION 7'!L16+'REGION 8'!L8+'REGION 9'!L14+'REGION 10'!L8+'REGION 11'!L8+'REGION 12'!L9+'REGION 13'!L8+'SC5 OTHER'!L7+'SC5 OTHER'!L8+'SC5 OTHER'!L9+'SC5 OTHER'!L14+'SC5 OTHER'!L17+'SC5 OTHER'!L26+'SC5 OTHER'!L37+'SC5 OTHER'!L38+'SC5 OTHER'!L41+'SC5 OTHER'!L44+'SC5 OTHER'!L46+'SC5 OTHER'!L48+'SC5 OTHER'!L57+'SC5 OTHER'!L59+'SC5 OTHER'!L60+'Aug 15'!N9+'Aug 15'!N14+'Aug 15'!N16+'Aug 15'!N19+'Aug 15'!N17</f>
        <v>989721000</v>
      </c>
      <c r="C14" s="128">
        <v>381157999</v>
      </c>
      <c r="D14" s="128">
        <v>225577000</v>
      </c>
      <c r="E14" s="128">
        <v>118240400</v>
      </c>
      <c r="F14" s="128">
        <v>225357000</v>
      </c>
      <c r="G14" s="128">
        <v>144676500</v>
      </c>
      <c r="H14" s="291">
        <v>80945000</v>
      </c>
      <c r="I14" s="128">
        <v>72480000</v>
      </c>
      <c r="J14" s="252">
        <v>90325000</v>
      </c>
      <c r="K14" s="252">
        <v>7250000</v>
      </c>
      <c r="L14" s="128">
        <v>5275000</v>
      </c>
      <c r="M14" s="128">
        <v>0</v>
      </c>
      <c r="N14" s="252">
        <v>38530714</v>
      </c>
      <c r="O14" s="252">
        <v>266479282</v>
      </c>
      <c r="P14" s="252">
        <v>101592000</v>
      </c>
      <c r="Q14" s="292">
        <v>108950000</v>
      </c>
      <c r="R14" s="292">
        <v>384700000</v>
      </c>
      <c r="S14" s="417">
        <v>388626000</v>
      </c>
      <c r="T14" s="97">
        <v>365185169</v>
      </c>
      <c r="U14" s="429">
        <v>319584000</v>
      </c>
    </row>
    <row r="15" spans="1:21">
      <c r="A15" s="374" t="s">
        <v>113</v>
      </c>
      <c r="B15" s="252">
        <f>'2019 CF'!L65+'2019 CF'!L18+'2018 CF'!L48+'2018 CF'!L14+'2017 CF'!L12</f>
        <v>606871000</v>
      </c>
      <c r="C15" s="252">
        <v>663385001</v>
      </c>
      <c r="D15" s="252">
        <v>554545900</v>
      </c>
      <c r="E15" s="252">
        <v>482831600</v>
      </c>
      <c r="F15" s="252">
        <v>353473500</v>
      </c>
      <c r="G15" s="252">
        <v>352830000</v>
      </c>
      <c r="H15" s="293">
        <v>116150000</v>
      </c>
      <c r="I15" s="252">
        <v>100725000</v>
      </c>
      <c r="J15" s="252">
        <v>20100000</v>
      </c>
      <c r="K15" s="252">
        <v>62625000</v>
      </c>
      <c r="L15" s="252">
        <v>31050000</v>
      </c>
      <c r="M15" s="128">
        <v>28690000</v>
      </c>
      <c r="N15" s="252">
        <v>86135000</v>
      </c>
      <c r="O15" s="252">
        <v>101789718</v>
      </c>
      <c r="P15" s="252">
        <v>329745562</v>
      </c>
      <c r="Q15" s="292">
        <v>428150000</v>
      </c>
      <c r="R15" s="292">
        <v>97550000</v>
      </c>
      <c r="S15" s="416">
        <v>123550000</v>
      </c>
      <c r="T15" s="292">
        <v>0</v>
      </c>
      <c r="U15" s="433">
        <v>0</v>
      </c>
    </row>
    <row r="16" spans="1:21">
      <c r="A16" s="374" t="s">
        <v>114</v>
      </c>
      <c r="B16" s="252">
        <v>0</v>
      </c>
      <c r="C16" s="207"/>
      <c r="D16" s="207"/>
      <c r="E16" s="252">
        <v>0</v>
      </c>
      <c r="F16" s="252"/>
      <c r="G16" s="252">
        <v>0</v>
      </c>
      <c r="H16" s="252">
        <v>0</v>
      </c>
      <c r="I16" s="252">
        <v>0</v>
      </c>
      <c r="J16" s="252">
        <v>0</v>
      </c>
      <c r="K16" s="252">
        <v>0</v>
      </c>
      <c r="L16" s="252">
        <v>0</v>
      </c>
      <c r="M16" s="252">
        <v>15700000</v>
      </c>
      <c r="N16" s="252"/>
      <c r="O16" s="252"/>
      <c r="P16" s="252"/>
      <c r="Q16" s="292"/>
      <c r="R16" s="292"/>
      <c r="S16" s="416"/>
      <c r="T16" s="292"/>
      <c r="U16" s="433"/>
    </row>
    <row r="17" spans="1:21">
      <c r="A17" s="290" t="s">
        <v>117</v>
      </c>
      <c r="B17" s="70"/>
      <c r="C17" s="70"/>
      <c r="D17" s="70"/>
      <c r="E17" s="252">
        <v>0</v>
      </c>
      <c r="F17" s="252">
        <v>0</v>
      </c>
      <c r="G17" s="252">
        <v>0</v>
      </c>
      <c r="H17" s="252">
        <v>0</v>
      </c>
      <c r="I17" s="252">
        <v>0</v>
      </c>
      <c r="J17" s="252">
        <v>0</v>
      </c>
      <c r="K17" s="252">
        <v>0</v>
      </c>
      <c r="L17" s="128">
        <v>0</v>
      </c>
      <c r="M17" s="128"/>
      <c r="N17" s="252"/>
      <c r="O17" s="128">
        <v>0</v>
      </c>
      <c r="P17" s="128">
        <v>0</v>
      </c>
      <c r="Q17" s="292">
        <v>0</v>
      </c>
      <c r="R17" s="292">
        <v>0</v>
      </c>
      <c r="S17" s="416">
        <v>0</v>
      </c>
      <c r="T17" s="292">
        <v>0</v>
      </c>
      <c r="U17" s="433">
        <v>0</v>
      </c>
    </row>
    <row r="18" spans="1:21">
      <c r="A18" s="290" t="s">
        <v>3</v>
      </c>
      <c r="B18" s="128">
        <f>'SC3 Small Issue IDBs'!L11</f>
        <v>0</v>
      </c>
      <c r="C18" s="128">
        <v>20000000</v>
      </c>
      <c r="D18" s="70"/>
      <c r="E18" s="96">
        <v>8600000</v>
      </c>
      <c r="F18" s="96">
        <v>10000000</v>
      </c>
      <c r="G18" s="291"/>
      <c r="H18" s="291">
        <v>3650000</v>
      </c>
      <c r="I18" s="128">
        <v>1897830</v>
      </c>
      <c r="J18" s="252">
        <v>10000000</v>
      </c>
      <c r="K18" s="252">
        <v>13300000</v>
      </c>
      <c r="L18" s="128">
        <v>3440000</v>
      </c>
      <c r="M18" s="128">
        <v>16043250</v>
      </c>
      <c r="N18" s="252">
        <v>40869207</v>
      </c>
      <c r="O18" s="252">
        <v>19402500</v>
      </c>
      <c r="P18" s="128">
        <v>0</v>
      </c>
      <c r="Q18" s="292">
        <v>4225000</v>
      </c>
      <c r="R18" s="292">
        <v>10000000</v>
      </c>
      <c r="S18" s="416">
        <v>3700000</v>
      </c>
      <c r="T18" s="292">
        <v>0</v>
      </c>
      <c r="U18" s="433">
        <v>0</v>
      </c>
    </row>
    <row r="19" spans="1:21">
      <c r="A19" s="374" t="s">
        <v>113</v>
      </c>
      <c r="B19" s="252">
        <v>0</v>
      </c>
      <c r="C19" s="207"/>
      <c r="D19" s="207"/>
      <c r="E19" s="252">
        <v>0</v>
      </c>
      <c r="F19" s="252">
        <v>0</v>
      </c>
      <c r="G19" s="252"/>
      <c r="H19" s="252">
        <v>0</v>
      </c>
      <c r="I19" s="252">
        <v>0</v>
      </c>
      <c r="J19" s="252">
        <v>0</v>
      </c>
      <c r="K19" s="252">
        <v>0</v>
      </c>
      <c r="L19" s="252">
        <v>0</v>
      </c>
      <c r="M19" s="128"/>
      <c r="N19" s="252"/>
      <c r="O19" s="128">
        <v>0</v>
      </c>
      <c r="P19" s="128">
        <v>0</v>
      </c>
      <c r="Q19" s="292">
        <v>3000000</v>
      </c>
      <c r="R19" s="292">
        <v>0</v>
      </c>
      <c r="S19" s="416">
        <v>0</v>
      </c>
      <c r="T19" s="292">
        <v>0</v>
      </c>
      <c r="U19" s="433">
        <v>0</v>
      </c>
    </row>
    <row r="20" spans="1:21">
      <c r="A20" s="290" t="s">
        <v>118</v>
      </c>
      <c r="B20" s="128">
        <f>'SC5 OTHER'!L10+'SC5 OTHER'!L18+'Aug 15'!N27</f>
        <v>76870000</v>
      </c>
      <c r="C20" s="128">
        <v>75000000</v>
      </c>
      <c r="D20" s="128">
        <v>86430000</v>
      </c>
      <c r="E20" s="96">
        <v>0</v>
      </c>
      <c r="F20" s="96">
        <v>50000000</v>
      </c>
      <c r="G20" s="96">
        <v>53350000</v>
      </c>
      <c r="H20" s="294">
        <v>155360000</v>
      </c>
      <c r="I20" s="96">
        <v>40675827</v>
      </c>
      <c r="J20" s="96">
        <v>361535000</v>
      </c>
      <c r="K20" s="96">
        <v>45000000</v>
      </c>
      <c r="L20" s="128">
        <v>445510316.30000001</v>
      </c>
      <c r="M20" s="128">
        <v>358800000</v>
      </c>
      <c r="N20" s="252">
        <v>658300000</v>
      </c>
      <c r="O20" s="252">
        <v>475235473</v>
      </c>
      <c r="P20" s="252">
        <v>519550000</v>
      </c>
      <c r="Q20" s="292">
        <v>139425000</v>
      </c>
      <c r="R20" s="292">
        <v>189355000</v>
      </c>
      <c r="S20" s="416">
        <v>391476662</v>
      </c>
      <c r="T20" s="97">
        <v>391800000</v>
      </c>
      <c r="U20" s="429">
        <v>384205000</v>
      </c>
    </row>
    <row r="21" spans="1:21">
      <c r="A21" s="374" t="s">
        <v>113</v>
      </c>
      <c r="B21" s="252">
        <f>'2019 CF'!L70</f>
        <v>94030000</v>
      </c>
      <c r="C21" s="252">
        <v>25000000</v>
      </c>
      <c r="D21" s="252">
        <v>352115000</v>
      </c>
      <c r="E21" s="97">
        <v>0</v>
      </c>
      <c r="F21" s="97">
        <v>252885000</v>
      </c>
      <c r="G21" s="97">
        <v>0</v>
      </c>
      <c r="H21" s="97">
        <v>0</v>
      </c>
      <c r="I21" s="97">
        <v>0</v>
      </c>
      <c r="J21" s="97">
        <v>0</v>
      </c>
      <c r="K21" s="97">
        <v>40200000</v>
      </c>
      <c r="L21" s="252">
        <v>143000000</v>
      </c>
      <c r="M21" s="128"/>
      <c r="N21" s="252"/>
      <c r="O21" s="252">
        <v>96499998</v>
      </c>
      <c r="P21" s="252">
        <v>205500000</v>
      </c>
      <c r="Q21" s="292">
        <v>5200000</v>
      </c>
      <c r="R21" s="292">
        <v>0</v>
      </c>
      <c r="S21" s="416">
        <v>22108338</v>
      </c>
      <c r="T21" s="97">
        <v>0</v>
      </c>
      <c r="U21" s="429">
        <v>0</v>
      </c>
    </row>
    <row r="22" spans="1:21">
      <c r="A22" s="290" t="s">
        <v>119</v>
      </c>
      <c r="B22" s="128">
        <f>'SC5 OTHER'!L12+'SC5 OTHER'!L32</f>
        <v>63258647.799999997</v>
      </c>
      <c r="C22" s="383">
        <v>46001315.149999999</v>
      </c>
      <c r="D22" s="70"/>
      <c r="E22" s="96">
        <v>0</v>
      </c>
      <c r="F22" s="96">
        <v>0</v>
      </c>
      <c r="G22" s="96">
        <v>0</v>
      </c>
      <c r="H22" s="96">
        <v>0</v>
      </c>
      <c r="I22" s="96">
        <v>0</v>
      </c>
      <c r="J22" s="96">
        <v>0</v>
      </c>
      <c r="K22" s="96">
        <v>0</v>
      </c>
      <c r="L22" s="128">
        <v>85850000</v>
      </c>
      <c r="M22" s="128">
        <v>0</v>
      </c>
      <c r="N22" s="252">
        <v>58500000</v>
      </c>
      <c r="O22" s="252">
        <v>209759336</v>
      </c>
      <c r="P22" s="252">
        <v>191945000</v>
      </c>
      <c r="Q22" s="292">
        <v>598050000</v>
      </c>
      <c r="R22" s="292">
        <v>296200000</v>
      </c>
      <c r="S22" s="416">
        <v>140000000</v>
      </c>
      <c r="T22" s="97">
        <v>139500000</v>
      </c>
      <c r="U22" s="429">
        <v>136840000</v>
      </c>
    </row>
    <row r="23" spans="1:21">
      <c r="A23" s="374" t="s">
        <v>113</v>
      </c>
      <c r="B23" s="252">
        <f>'2017 CF'!L26</f>
        <v>30032428.350000001</v>
      </c>
      <c r="C23" s="434">
        <v>19967571.649999999</v>
      </c>
      <c r="D23" s="207"/>
      <c r="E23" s="97">
        <v>0</v>
      </c>
      <c r="F23" s="97">
        <v>0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252">
        <v>208000000</v>
      </c>
      <c r="M23" s="128"/>
      <c r="N23" s="252"/>
      <c r="O23" s="252">
        <v>30645664</v>
      </c>
      <c r="P23" s="128">
        <v>0</v>
      </c>
      <c r="Q23" s="292">
        <v>58000000</v>
      </c>
      <c r="R23" s="292">
        <v>0</v>
      </c>
      <c r="S23" s="416">
        <v>0</v>
      </c>
      <c r="T23" s="97">
        <v>0</v>
      </c>
      <c r="U23" s="429">
        <v>0</v>
      </c>
    </row>
    <row r="24" spans="1:21">
      <c r="A24" s="290" t="s">
        <v>120</v>
      </c>
      <c r="B24" s="383">
        <f>'SC2 State Voted'!L9</f>
        <v>69990168.900000006</v>
      </c>
      <c r="C24" s="70"/>
      <c r="D24" s="70"/>
      <c r="E24" s="96">
        <v>170111691.94999999</v>
      </c>
      <c r="F24" s="96">
        <v>0</v>
      </c>
      <c r="G24" s="96">
        <v>0</v>
      </c>
      <c r="H24" s="96">
        <v>0</v>
      </c>
      <c r="I24" s="96">
        <v>0</v>
      </c>
      <c r="J24" s="96">
        <v>0</v>
      </c>
      <c r="K24" s="96">
        <v>74994999.700000003</v>
      </c>
      <c r="L24" s="128">
        <v>95279609.400000006</v>
      </c>
      <c r="M24" s="128">
        <v>24999100.800000001</v>
      </c>
      <c r="N24" s="252">
        <v>74997184.099999994</v>
      </c>
      <c r="O24" s="252">
        <v>99999895.150000006</v>
      </c>
      <c r="P24" s="128">
        <v>0</v>
      </c>
      <c r="Q24" s="292">
        <v>0</v>
      </c>
      <c r="R24" s="292">
        <v>25000000</v>
      </c>
      <c r="S24" s="416">
        <v>100000000</v>
      </c>
      <c r="T24" s="97">
        <v>120000000</v>
      </c>
      <c r="U24" s="429" t="s">
        <v>140</v>
      </c>
    </row>
    <row r="25" spans="1:21">
      <c r="A25" s="374" t="s">
        <v>113</v>
      </c>
      <c r="B25" s="252">
        <f>'2018 CF'!L37</f>
        <v>29724277</v>
      </c>
      <c r="C25" s="252">
        <v>170275723</v>
      </c>
      <c r="D25" s="207"/>
      <c r="E25" s="97">
        <v>501939.59999999404</v>
      </c>
      <c r="F25" s="97">
        <v>179995089.59999999</v>
      </c>
      <c r="G25" s="97">
        <v>169502970.80000001</v>
      </c>
      <c r="H25" s="9">
        <v>81144804</v>
      </c>
      <c r="I25" s="97">
        <v>143854150.80000001</v>
      </c>
      <c r="J25" s="97">
        <v>99995837.400000006</v>
      </c>
      <c r="K25" s="97">
        <v>50000000</v>
      </c>
      <c r="L25" s="252">
        <v>144649500</v>
      </c>
      <c r="M25" s="252">
        <v>50000000</v>
      </c>
      <c r="N25" s="252">
        <v>0</v>
      </c>
      <c r="O25" s="252">
        <v>0</v>
      </c>
      <c r="P25" s="128">
        <v>0</v>
      </c>
      <c r="Q25" s="292">
        <v>0</v>
      </c>
      <c r="R25" s="292">
        <v>0</v>
      </c>
      <c r="S25" s="416">
        <v>0</v>
      </c>
      <c r="T25" s="97"/>
      <c r="U25" s="429"/>
    </row>
    <row r="26" spans="1:21">
      <c r="A26" s="290" t="s">
        <v>121</v>
      </c>
      <c r="B26" s="252">
        <v>0</v>
      </c>
      <c r="C26" s="70"/>
      <c r="D26" s="97">
        <v>0</v>
      </c>
      <c r="E26" s="97">
        <v>0</v>
      </c>
      <c r="F26" s="97">
        <v>0</v>
      </c>
      <c r="G26" s="97">
        <v>0</v>
      </c>
      <c r="H26" s="97">
        <v>0</v>
      </c>
      <c r="I26" s="96">
        <v>742041688</v>
      </c>
      <c r="J26" s="96">
        <v>796507617.5999999</v>
      </c>
      <c r="K26" s="96">
        <v>1107266939</v>
      </c>
      <c r="L26" s="252">
        <v>0.30000019073486328</v>
      </c>
      <c r="M26" s="128"/>
      <c r="N26" s="252">
        <v>18660702.037717462</v>
      </c>
      <c r="O26" s="252">
        <v>0</v>
      </c>
      <c r="P26" s="128">
        <v>0</v>
      </c>
      <c r="Q26" s="292">
        <v>0</v>
      </c>
      <c r="R26" s="292">
        <v>0</v>
      </c>
      <c r="S26" s="416">
        <v>0</v>
      </c>
      <c r="T26" s="97">
        <v>0</v>
      </c>
      <c r="U26" s="429">
        <v>0</v>
      </c>
    </row>
    <row r="27" spans="1:21">
      <c r="A27" s="290" t="s">
        <v>122</v>
      </c>
      <c r="B27" s="128">
        <f>'2017 CF'!M32</f>
        <v>82005055.920000136</v>
      </c>
      <c r="C27" s="194">
        <v>268187900</v>
      </c>
      <c r="D27" s="194">
        <v>474671500</v>
      </c>
      <c r="E27" s="96">
        <v>514835000</v>
      </c>
      <c r="F27" s="188">
        <v>299926000</v>
      </c>
      <c r="G27" s="188">
        <v>622583000</v>
      </c>
      <c r="H27" s="294">
        <v>347460208</v>
      </c>
      <c r="I27" s="97">
        <v>308292671</v>
      </c>
      <c r="J27" s="96">
        <v>853943988</v>
      </c>
      <c r="K27" s="96">
        <v>520447605</v>
      </c>
      <c r="L27" s="128">
        <v>146632500.35000002</v>
      </c>
      <c r="M27" s="128">
        <v>236080000</v>
      </c>
      <c r="N27" s="128">
        <v>101327449</v>
      </c>
      <c r="O27" s="252">
        <v>49580000</v>
      </c>
      <c r="P27" s="252">
        <v>95000000</v>
      </c>
      <c r="Q27" s="292">
        <v>39592476.549999997</v>
      </c>
      <c r="R27" s="292">
        <v>17850</v>
      </c>
      <c r="S27" s="416">
        <v>0</v>
      </c>
      <c r="T27" s="292">
        <v>0</v>
      </c>
      <c r="U27" s="429"/>
    </row>
    <row r="28" spans="1:21">
      <c r="A28" s="435" t="s">
        <v>123</v>
      </c>
      <c r="B28" s="1"/>
      <c r="C28" s="1"/>
      <c r="D28" s="1"/>
      <c r="E28" s="97"/>
      <c r="F28" s="1"/>
      <c r="G28" s="1"/>
      <c r="H28" s="1"/>
      <c r="I28" s="1"/>
      <c r="J28" s="1"/>
      <c r="K28" s="1"/>
      <c r="L28" s="97"/>
      <c r="M28" s="436"/>
      <c r="N28" s="70"/>
      <c r="O28" s="128"/>
      <c r="P28" s="128"/>
      <c r="Q28" s="437"/>
      <c r="R28" s="292">
        <v>39677181.549999997</v>
      </c>
      <c r="S28" s="416"/>
      <c r="T28" s="292"/>
      <c r="U28" s="429"/>
    </row>
    <row r="29" spans="1:21">
      <c r="A29" s="435" t="s">
        <v>124</v>
      </c>
      <c r="B29" s="1"/>
      <c r="C29" s="340"/>
      <c r="D29" s="340"/>
      <c r="E29" s="97"/>
      <c r="F29" s="1"/>
      <c r="G29" s="1"/>
      <c r="H29" s="1"/>
      <c r="I29" s="1"/>
      <c r="J29" s="1"/>
      <c r="K29" s="1"/>
      <c r="L29" s="97"/>
      <c r="M29" s="436"/>
      <c r="N29" s="4"/>
      <c r="O29" s="96"/>
      <c r="P29" s="292"/>
      <c r="Q29" s="292">
        <v>95000000</v>
      </c>
      <c r="R29" s="292">
        <v>98000000</v>
      </c>
      <c r="S29" s="416"/>
      <c r="T29" s="292"/>
      <c r="U29" s="433"/>
    </row>
    <row r="30" spans="1:21">
      <c r="A30" s="435" t="s">
        <v>125</v>
      </c>
      <c r="B30" s="1"/>
      <c r="C30" s="97"/>
      <c r="D30" s="97"/>
      <c r="E30" s="97"/>
      <c r="F30" s="1"/>
      <c r="G30" s="1"/>
      <c r="H30" s="1"/>
      <c r="I30" s="1"/>
      <c r="J30" s="1"/>
      <c r="K30" s="97"/>
      <c r="L30" s="97"/>
      <c r="M30" s="436"/>
      <c r="N30" s="1"/>
      <c r="O30" s="97"/>
      <c r="P30" s="97">
        <v>104065280</v>
      </c>
      <c r="Q30" s="97">
        <v>170515280</v>
      </c>
      <c r="R30" s="97">
        <v>661780575</v>
      </c>
      <c r="S30" s="417"/>
      <c r="T30" s="97"/>
      <c r="U30" s="429"/>
    </row>
    <row r="31" spans="1:21">
      <c r="A31" s="435" t="s">
        <v>126</v>
      </c>
      <c r="B31" s="1"/>
      <c r="C31" s="97"/>
      <c r="D31" s="97"/>
      <c r="E31" s="97"/>
      <c r="F31" s="1"/>
      <c r="G31" s="1"/>
      <c r="H31" s="1"/>
      <c r="I31" s="1"/>
      <c r="J31" s="1"/>
      <c r="K31" s="97"/>
      <c r="L31" s="97"/>
      <c r="M31" s="436"/>
      <c r="N31" s="1"/>
      <c r="O31" s="97">
        <v>101327449</v>
      </c>
      <c r="P31" s="97">
        <v>159331887</v>
      </c>
      <c r="Q31" s="97">
        <v>675206449</v>
      </c>
      <c r="R31" s="97"/>
      <c r="S31" s="417">
        <v>385204031</v>
      </c>
      <c r="T31" s="97">
        <v>192694519</v>
      </c>
      <c r="U31" s="429">
        <v>63200000</v>
      </c>
    </row>
    <row r="32" spans="1:21">
      <c r="A32" s="435" t="s">
        <v>127</v>
      </c>
      <c r="B32" s="1"/>
      <c r="C32" s="340"/>
      <c r="D32" s="340"/>
      <c r="E32" s="97"/>
      <c r="F32" s="97"/>
      <c r="G32" s="1"/>
      <c r="H32" s="1"/>
      <c r="I32" s="1"/>
      <c r="J32" s="1"/>
      <c r="K32" s="97"/>
      <c r="L32" s="97"/>
      <c r="M32" s="436"/>
      <c r="N32" s="97">
        <v>236080000</v>
      </c>
      <c r="O32" s="97">
        <v>251080000</v>
      </c>
      <c r="P32" s="97">
        <v>444516590.5</v>
      </c>
      <c r="Q32" s="97"/>
      <c r="R32" s="97"/>
      <c r="S32" s="417"/>
      <c r="T32" s="97"/>
      <c r="U32" s="429"/>
    </row>
    <row r="33" spans="1:21">
      <c r="A33" s="435" t="s">
        <v>128</v>
      </c>
      <c r="B33" s="1"/>
      <c r="C33" s="1"/>
      <c r="D33" s="1"/>
      <c r="E33" s="97"/>
      <c r="F33" s="1"/>
      <c r="G33" s="1"/>
      <c r="H33" s="1"/>
      <c r="I33" s="1"/>
      <c r="J33" s="1"/>
      <c r="K33" s="97"/>
      <c r="L33" s="97"/>
      <c r="M33" s="436">
        <v>134538461.35000002</v>
      </c>
      <c r="N33" s="97">
        <v>270613461.35000002</v>
      </c>
      <c r="O33" s="97">
        <v>376748461.35000002</v>
      </c>
      <c r="P33" s="97"/>
      <c r="Q33" s="97"/>
      <c r="R33" s="97"/>
      <c r="S33" s="417"/>
      <c r="T33" s="97"/>
      <c r="U33" s="429"/>
    </row>
    <row r="34" spans="1:21">
      <c r="A34" s="435" t="s">
        <v>129</v>
      </c>
      <c r="B34" s="1"/>
      <c r="C34" s="97"/>
      <c r="D34" s="97"/>
      <c r="E34" s="97"/>
      <c r="F34" s="1"/>
      <c r="G34" s="1"/>
      <c r="H34" s="1"/>
      <c r="I34" s="1"/>
      <c r="J34" s="1"/>
      <c r="K34" s="97"/>
      <c r="L34" s="97">
        <v>548608539</v>
      </c>
      <c r="M34" s="436">
        <v>858767293</v>
      </c>
      <c r="N34" s="97">
        <v>1043014493</v>
      </c>
      <c r="O34" s="97"/>
      <c r="P34" s="97"/>
      <c r="Q34" s="97"/>
      <c r="R34" s="97"/>
      <c r="S34" s="417"/>
      <c r="T34" s="97"/>
      <c r="U34" s="429"/>
    </row>
    <row r="35" spans="1:21">
      <c r="A35" s="435" t="s">
        <v>130</v>
      </c>
      <c r="B35" s="1"/>
      <c r="C35" s="97"/>
      <c r="D35" s="97"/>
      <c r="E35" s="97"/>
      <c r="F35" s="97"/>
      <c r="G35" s="1"/>
      <c r="H35" s="1"/>
      <c r="I35" s="1"/>
      <c r="J35" s="1"/>
      <c r="K35" s="97">
        <v>862493038</v>
      </c>
      <c r="L35" s="97">
        <v>1223285704</v>
      </c>
      <c r="M35" s="436"/>
      <c r="N35" s="97"/>
      <c r="O35" s="97"/>
      <c r="P35" s="97"/>
      <c r="Q35" s="97"/>
      <c r="R35" s="97"/>
      <c r="S35" s="417"/>
      <c r="T35" s="97"/>
      <c r="U35" s="429"/>
    </row>
    <row r="36" spans="1:21">
      <c r="A36" s="435" t="s">
        <v>131</v>
      </c>
      <c r="B36" s="1"/>
      <c r="C36" s="1"/>
      <c r="D36" s="1"/>
      <c r="E36" s="97"/>
      <c r="F36" s="1"/>
      <c r="G36" s="1"/>
      <c r="H36" s="1"/>
      <c r="I36" s="1"/>
      <c r="J36" s="1"/>
      <c r="K36" s="97">
        <v>0</v>
      </c>
      <c r="L36" s="97">
        <v>0</v>
      </c>
      <c r="M36" s="436">
        <v>448500000</v>
      </c>
      <c r="N36" s="97">
        <v>730000000</v>
      </c>
      <c r="O36" s="97"/>
      <c r="P36" s="97"/>
      <c r="Q36" s="97"/>
      <c r="R36" s="97"/>
      <c r="S36" s="417"/>
      <c r="T36" s="97"/>
      <c r="U36" s="429"/>
    </row>
    <row r="37" spans="1:21">
      <c r="A37" s="435" t="s">
        <v>132</v>
      </c>
      <c r="B37" s="1"/>
      <c r="C37" s="1"/>
      <c r="D37" s="1"/>
      <c r="E37" s="97"/>
      <c r="F37" s="1"/>
      <c r="G37" s="1"/>
      <c r="H37" s="436"/>
      <c r="I37" s="436"/>
      <c r="J37" s="436"/>
      <c r="K37" s="97">
        <v>953632600.45000005</v>
      </c>
      <c r="L37" s="97"/>
      <c r="M37" s="436"/>
      <c r="N37" s="97"/>
      <c r="O37" s="97"/>
      <c r="P37" s="97"/>
      <c r="Q37" s="97"/>
      <c r="R37" s="97"/>
      <c r="S37" s="417"/>
      <c r="T37" s="97"/>
      <c r="U37" s="429"/>
    </row>
    <row r="38" spans="1:21">
      <c r="A38" s="435" t="s">
        <v>133</v>
      </c>
      <c r="B38" s="97"/>
      <c r="C38" s="97"/>
      <c r="D38" s="1"/>
      <c r="E38" s="97"/>
      <c r="F38" s="97"/>
      <c r="G38" s="1"/>
      <c r="H38" s="97"/>
      <c r="I38" s="97">
        <v>578191224.79999995</v>
      </c>
      <c r="J38" s="436">
        <v>897459162.60000002</v>
      </c>
      <c r="K38" s="97"/>
      <c r="L38" s="97"/>
      <c r="M38" s="436"/>
      <c r="N38" s="97"/>
      <c r="O38" s="97"/>
      <c r="P38" s="97"/>
      <c r="Q38" s="97"/>
      <c r="R38" s="97"/>
      <c r="S38" s="417"/>
      <c r="T38" s="97"/>
      <c r="U38" s="429"/>
    </row>
    <row r="39" spans="1:21">
      <c r="A39" s="435" t="s">
        <v>134</v>
      </c>
      <c r="B39" s="1"/>
      <c r="C39" s="97"/>
      <c r="D39" s="1"/>
      <c r="E39" s="97"/>
      <c r="H39" s="9">
        <v>640700000</v>
      </c>
      <c r="I39" s="97">
        <v>771171000</v>
      </c>
      <c r="J39" s="436"/>
      <c r="K39" s="97"/>
      <c r="L39" s="97"/>
      <c r="M39" s="436"/>
      <c r="N39" s="97"/>
      <c r="O39" s="97"/>
      <c r="P39" s="97"/>
      <c r="Q39" s="97"/>
      <c r="R39" s="97"/>
      <c r="S39" s="417"/>
      <c r="T39" s="97"/>
      <c r="U39" s="429"/>
    </row>
    <row r="40" spans="1:21">
      <c r="A40" s="435" t="s">
        <v>135</v>
      </c>
      <c r="B40" s="1"/>
      <c r="C40" s="97"/>
      <c r="D40" s="97"/>
      <c r="E40" s="97"/>
      <c r="F40" s="97"/>
      <c r="G40" s="97">
        <v>299926000</v>
      </c>
      <c r="H40" s="9">
        <v>751412213</v>
      </c>
      <c r="I40" s="97"/>
      <c r="J40" s="436"/>
      <c r="K40" s="97"/>
      <c r="L40" s="97"/>
      <c r="M40" s="436"/>
      <c r="N40" s="97"/>
      <c r="O40" s="97"/>
      <c r="P40" s="97"/>
      <c r="Q40" s="97"/>
      <c r="R40" s="97"/>
      <c r="S40" s="417"/>
      <c r="T40" s="97"/>
      <c r="U40" s="429"/>
    </row>
    <row r="41" spans="1:21">
      <c r="A41" s="435" t="s">
        <v>136</v>
      </c>
      <c r="B41" s="1"/>
      <c r="C41" s="97"/>
      <c r="D41" s="1"/>
      <c r="E41" s="97"/>
      <c r="F41" s="97">
        <v>792403239.60000002</v>
      </c>
      <c r="G41" s="97">
        <v>1074408329.2</v>
      </c>
      <c r="H41" s="9"/>
      <c r="I41" s="97"/>
      <c r="J41" s="436"/>
      <c r="K41" s="97"/>
      <c r="L41" s="97"/>
      <c r="M41" s="436"/>
      <c r="N41" s="97"/>
      <c r="O41" s="97"/>
      <c r="P41" s="97"/>
      <c r="Q41" s="97"/>
      <c r="R41" s="97"/>
      <c r="S41" s="417"/>
      <c r="T41" s="97"/>
      <c r="U41" s="429"/>
    </row>
    <row r="42" spans="1:21">
      <c r="A42" s="435" t="s">
        <v>160</v>
      </c>
      <c r="B42" s="1"/>
      <c r="C42" s="1"/>
      <c r="D42" s="1"/>
      <c r="E42" s="97">
        <v>826786500.33000004</v>
      </c>
      <c r="F42" s="97">
        <v>1854310800</v>
      </c>
      <c r="G42" s="10"/>
      <c r="H42" s="9"/>
      <c r="I42" s="97"/>
      <c r="J42" s="436"/>
      <c r="K42" s="97"/>
      <c r="L42" s="97"/>
      <c r="M42" s="436"/>
      <c r="N42" s="97"/>
      <c r="O42" s="97"/>
      <c r="P42" s="97"/>
      <c r="Q42" s="97"/>
      <c r="R42" s="97"/>
      <c r="S42" s="417"/>
      <c r="T42" s="97"/>
      <c r="U42" s="429"/>
    </row>
    <row r="43" spans="1:21">
      <c r="A43" s="435" t="s">
        <v>162</v>
      </c>
      <c r="B43" s="1"/>
      <c r="C43" s="97"/>
      <c r="D43" s="97">
        <v>356484900</v>
      </c>
      <c r="E43" s="97">
        <v>911328213.44000006</v>
      </c>
      <c r="F43" s="10"/>
      <c r="G43" s="97"/>
      <c r="H43" s="9"/>
      <c r="I43" s="97"/>
      <c r="J43" s="436"/>
      <c r="K43" s="97"/>
      <c r="L43" s="97"/>
      <c r="M43" s="436"/>
      <c r="N43" s="97"/>
      <c r="O43" s="97"/>
      <c r="P43" s="97"/>
      <c r="Q43" s="97"/>
      <c r="R43" s="97"/>
      <c r="S43" s="417"/>
      <c r="T43" s="97"/>
      <c r="U43" s="429"/>
    </row>
    <row r="44" spans="1:21">
      <c r="A44" s="435" t="s">
        <v>185</v>
      </c>
      <c r="B44" s="1"/>
      <c r="C44" s="97">
        <v>127037484.27000013</v>
      </c>
      <c r="D44" s="97">
        <v>858175818.78999996</v>
      </c>
      <c r="E44" s="97"/>
      <c r="F44" s="97"/>
      <c r="G44" s="97"/>
      <c r="H44" s="9"/>
      <c r="I44" s="97"/>
      <c r="J44" s="436"/>
      <c r="K44" s="97"/>
      <c r="L44" s="97"/>
      <c r="M44" s="436"/>
      <c r="N44" s="97"/>
      <c r="O44" s="97"/>
      <c r="P44" s="97"/>
      <c r="Q44" s="97"/>
      <c r="R44" s="97"/>
      <c r="S44" s="417"/>
      <c r="T44" s="97"/>
      <c r="U44" s="429"/>
    </row>
    <row r="45" spans="1:21">
      <c r="A45" s="435" t="s">
        <v>481</v>
      </c>
      <c r="B45" s="438">
        <f>'2018 CF'!M51</f>
        <v>295907040</v>
      </c>
      <c r="C45" s="97">
        <v>767572009.92449999</v>
      </c>
      <c r="D45" s="97"/>
      <c r="E45" s="97"/>
      <c r="F45" s="97"/>
      <c r="G45" s="97"/>
      <c r="H45" s="9"/>
      <c r="I45" s="97"/>
      <c r="J45" s="436"/>
      <c r="K45" s="97"/>
      <c r="L45" s="97"/>
      <c r="M45" s="436"/>
      <c r="N45" s="97"/>
      <c r="O45" s="97"/>
      <c r="P45" s="97"/>
      <c r="Q45" s="97"/>
      <c r="R45" s="97"/>
      <c r="S45" s="417"/>
      <c r="T45" s="97"/>
      <c r="U45" s="429"/>
    </row>
    <row r="46" spans="1:21">
      <c r="A46" s="435" t="s">
        <v>357</v>
      </c>
      <c r="B46" s="438">
        <f>'2019 CF'!M76</f>
        <v>837424700.89999998</v>
      </c>
      <c r="C46" s="97"/>
      <c r="D46" s="97"/>
      <c r="E46" s="97"/>
      <c r="F46" s="97"/>
      <c r="G46" s="97"/>
      <c r="H46" s="9"/>
      <c r="I46" s="97"/>
      <c r="J46" s="436"/>
      <c r="K46" s="97"/>
      <c r="L46" s="97"/>
      <c r="M46" s="436"/>
      <c r="N46" s="97"/>
      <c r="O46" s="97"/>
      <c r="P46" s="97"/>
      <c r="Q46" s="97"/>
      <c r="R46" s="97"/>
      <c r="S46" s="417"/>
      <c r="T46" s="97"/>
      <c r="U46" s="429"/>
    </row>
    <row r="47" spans="1:21">
      <c r="A47" s="435" t="s">
        <v>137</v>
      </c>
      <c r="B47" s="340">
        <f>'2020 CF'!L87</f>
        <v>1844727688.3000002</v>
      </c>
      <c r="C47" s="97">
        <v>2481381410.8499999</v>
      </c>
      <c r="D47" s="438">
        <v>2644975579</v>
      </c>
      <c r="E47" s="438">
        <v>1571292238.1500001</v>
      </c>
      <c r="F47" s="10">
        <v>2201486119.4400001</v>
      </c>
      <c r="G47" s="10">
        <v>2440169300</v>
      </c>
      <c r="H47" s="9">
        <v>2373598300</v>
      </c>
      <c r="I47" s="97">
        <v>1282771000</v>
      </c>
      <c r="J47" s="97">
        <v>951896000</v>
      </c>
      <c r="K47" s="97">
        <v>1135180000</v>
      </c>
      <c r="L47" s="97">
        <v>1528909710.3000002</v>
      </c>
      <c r="M47" s="436">
        <v>1734920489.2</v>
      </c>
      <c r="N47" s="97"/>
      <c r="O47" s="97"/>
      <c r="P47" s="97"/>
      <c r="Q47" s="97"/>
      <c r="R47" s="97"/>
      <c r="S47" s="417"/>
      <c r="T47" s="97"/>
      <c r="U47" s="429"/>
    </row>
    <row r="48" spans="1:21" ht="12.75" thickBot="1">
      <c r="A48" s="439"/>
      <c r="B48" s="440">
        <f>SUM(B9:B47)</f>
        <v>6420558409.0945005</v>
      </c>
      <c r="C48" s="440">
        <v>6873330023.3945007</v>
      </c>
      <c r="D48" s="440">
        <v>6281389530.1499996</v>
      </c>
      <c r="E48" s="440">
        <v>7634459758.04</v>
      </c>
      <c r="F48" s="440">
        <v>6561415028.2000008</v>
      </c>
      <c r="G48" s="440">
        <v>6459406313</v>
      </c>
      <c r="H48" s="440">
        <v>5276952525</v>
      </c>
      <c r="I48" s="440">
        <v>4717858331.6000004</v>
      </c>
      <c r="J48" s="440">
        <v>5390400333.6000004</v>
      </c>
      <c r="K48" s="440">
        <v>5789638391.1499996</v>
      </c>
      <c r="L48" s="440">
        <v>5407133423.6500006</v>
      </c>
      <c r="M48" s="440">
        <v>4469135614.3500004</v>
      </c>
      <c r="N48" s="440">
        <v>2761268210.4877172</v>
      </c>
      <c r="O48" s="440">
        <v>2705835313</v>
      </c>
      <c r="P48" s="440">
        <v>2769519169</v>
      </c>
      <c r="Q48" s="440">
        <v>2598659516.5500002</v>
      </c>
      <c r="R48" s="440">
        <v>2154684751.5500002</v>
      </c>
      <c r="S48" s="441">
        <v>1826186494</v>
      </c>
      <c r="T48" s="442">
        <v>1662576350</v>
      </c>
      <c r="U48" s="443">
        <v>1322304905</v>
      </c>
    </row>
    <row r="49" spans="1:21" ht="12.75">
      <c r="A49" s="1"/>
      <c r="B49" s="1"/>
      <c r="C49" s="1"/>
      <c r="D49" s="1">
        <v>0.99999999971821518</v>
      </c>
      <c r="E49" s="1"/>
      <c r="F49" s="105"/>
      <c r="G49" s="1"/>
      <c r="H49" s="1"/>
      <c r="I49" s="1"/>
      <c r="K49" s="444"/>
      <c r="L49" s="97"/>
      <c r="M49" s="97"/>
      <c r="N49" s="97"/>
      <c r="P49" s="97"/>
      <c r="Q49" s="231"/>
      <c r="R49" s="231"/>
      <c r="U49" s="445"/>
    </row>
    <row r="50" spans="1:21">
      <c r="B50">
        <f>SUM(B48/B5)</f>
        <v>0.9999999998520378</v>
      </c>
      <c r="C50">
        <v>1.0000000000879488</v>
      </c>
      <c r="F50" s="444">
        <v>4848200159.04</v>
      </c>
      <c r="J50" s="97">
        <v>653270937.39999998</v>
      </c>
      <c r="K50" s="444"/>
      <c r="L50" s="444"/>
      <c r="N50" s="97"/>
      <c r="O50" s="97">
        <v>1621413093.6500001</v>
      </c>
    </row>
    <row r="51" spans="1:21">
      <c r="A51" s="1" t="s">
        <v>10</v>
      </c>
      <c r="B51" s="1"/>
      <c r="C51" s="1"/>
      <c r="D51" s="1"/>
      <c r="E51" s="1"/>
      <c r="F51" s="1"/>
      <c r="G51" s="97">
        <v>2440169300</v>
      </c>
      <c r="H51" s="97">
        <v>2373598300</v>
      </c>
      <c r="I51" s="97">
        <v>2024812688</v>
      </c>
      <c r="K51" s="444"/>
      <c r="L51" s="97">
        <v>1528909710.3000002</v>
      </c>
      <c r="M51" s="97">
        <v>1734920489.2</v>
      </c>
      <c r="N51" s="97">
        <v>18660702.037717462</v>
      </c>
      <c r="P51" s="97">
        <v>1384280849.5</v>
      </c>
      <c r="Q51" s="231"/>
      <c r="R51" s="231"/>
    </row>
    <row r="52" spans="1:21">
      <c r="A52" s="1" t="s">
        <v>141</v>
      </c>
      <c r="B52" s="97">
        <f>B8+B11+B14+B18+B20+B22+B24</f>
        <v>1199839816.7</v>
      </c>
      <c r="C52" s="97">
        <f>C11+C14+C18+C20+C22</f>
        <v>532312314.14999998</v>
      </c>
      <c r="D52" s="97">
        <f>D11+D14+D20</f>
        <v>327007000</v>
      </c>
      <c r="E52" s="97">
        <v>1214967360.8499999</v>
      </c>
      <c r="F52" s="97">
        <v>545425279.55999994</v>
      </c>
      <c r="G52" s="97">
        <v>255526500</v>
      </c>
      <c r="H52" s="97">
        <v>271221000</v>
      </c>
      <c r="I52" s="97">
        <v>450811597</v>
      </c>
      <c r="J52" s="97">
        <v>690691078</v>
      </c>
      <c r="K52" s="97">
        <v>246387499.69999999</v>
      </c>
      <c r="L52" s="97">
        <v>701497469.69999993</v>
      </c>
      <c r="M52" s="97">
        <v>454507170.80000001</v>
      </c>
      <c r="N52" s="97">
        <v>970197105.10000002</v>
      </c>
      <c r="O52" s="97">
        <v>1998161555</v>
      </c>
      <c r="P52" s="97">
        <v>1828797440</v>
      </c>
      <c r="Q52" s="97">
        <v>1799201760</v>
      </c>
      <c r="R52" s="97">
        <v>1919439720</v>
      </c>
      <c r="S52" s="97">
        <v>1670078156</v>
      </c>
    </row>
    <row r="53" spans="1:21">
      <c r="A53" s="1" t="s">
        <v>142</v>
      </c>
      <c r="B53" s="97">
        <f>B12+B15+B21+B23+B25+B9</f>
        <v>2160654107.2744999</v>
      </c>
      <c r="C53" s="97">
        <v>2665474904.2000003</v>
      </c>
      <c r="D53" s="97">
        <f>D12+D15+D21</f>
        <v>1620074732.3600001</v>
      </c>
      <c r="E53" s="97">
        <v>2595250445.27</v>
      </c>
      <c r="F53" s="97">
        <v>867863589.60000002</v>
      </c>
      <c r="G53" s="97">
        <v>1766793183.8</v>
      </c>
      <c r="H53" s="97">
        <v>892560804</v>
      </c>
      <c r="I53" s="97">
        <v>584579150.79999995</v>
      </c>
      <c r="J53" s="97">
        <v>653270937.39999998</v>
      </c>
      <c r="K53" s="97">
        <v>964230709</v>
      </c>
      <c r="L53" s="97">
        <v>859699500</v>
      </c>
      <c r="M53" s="97">
        <v>320322200</v>
      </c>
      <c r="N53" s="97"/>
      <c r="P53" s="97"/>
      <c r="Q53" s="97"/>
      <c r="R53" s="97"/>
      <c r="S53" s="97"/>
    </row>
    <row r="54" spans="1:21">
      <c r="A54" s="1" t="s">
        <v>143</v>
      </c>
      <c r="B54" s="1"/>
      <c r="C54" s="97"/>
      <c r="D54" s="1"/>
      <c r="E54" s="1"/>
      <c r="F54" s="1"/>
      <c r="G54" s="1"/>
      <c r="H54" s="1"/>
      <c r="I54" s="1"/>
      <c r="K54" s="444"/>
      <c r="L54" s="97">
        <v>398500000</v>
      </c>
      <c r="M54" s="97">
        <v>281500000</v>
      </c>
      <c r="N54" s="97"/>
      <c r="P54" s="97"/>
      <c r="Q54" s="97"/>
      <c r="R54" s="97"/>
      <c r="S54" s="97"/>
    </row>
    <row r="55" spans="1:21">
      <c r="A55" s="1" t="s">
        <v>144</v>
      </c>
      <c r="B55" s="227">
        <f>B3-B52</f>
        <v>1844727688.3</v>
      </c>
      <c r="C55" s="1"/>
      <c r="D55" s="1"/>
      <c r="E55" s="1"/>
      <c r="F55" s="1"/>
      <c r="G55" s="1"/>
      <c r="H55" s="1"/>
      <c r="I55" s="1"/>
      <c r="J55" s="436">
        <v>1444090712.5999999</v>
      </c>
      <c r="K55" s="97">
        <v>1382940643</v>
      </c>
      <c r="L55" s="97">
        <v>1918526743.3499999</v>
      </c>
      <c r="M55" s="97">
        <v>1677885754.3499999</v>
      </c>
      <c r="N55" s="97">
        <v>1772410403.3499999</v>
      </c>
      <c r="O55" s="97">
        <v>707673758</v>
      </c>
      <c r="P55" s="97">
        <v>940721729</v>
      </c>
      <c r="Q55" s="97">
        <v>799457756.54999995</v>
      </c>
      <c r="R55" s="97">
        <v>235245031.55000001</v>
      </c>
      <c r="S55" s="97">
        <v>156108338</v>
      </c>
    </row>
    <row r="56" spans="1:21">
      <c r="K56" s="444"/>
      <c r="L56" s="97">
        <v>5407133423.3500004</v>
      </c>
      <c r="M56" s="103">
        <v>4469135614.3500004</v>
      </c>
      <c r="N56" s="103">
        <v>2761268210.4877176</v>
      </c>
      <c r="O56" s="103">
        <v>2705835313</v>
      </c>
      <c r="P56" s="103">
        <v>2769519169</v>
      </c>
      <c r="Q56" s="103">
        <v>2598659516.5500002</v>
      </c>
      <c r="R56" s="103">
        <v>2154684751.5500002</v>
      </c>
      <c r="S56" s="103">
        <v>1826186494</v>
      </c>
    </row>
    <row r="57" spans="1:21">
      <c r="B57" s="444"/>
      <c r="H57" s="444"/>
      <c r="I57" s="444"/>
      <c r="K57" s="444"/>
      <c r="L57" s="444"/>
    </row>
    <row r="58" spans="1:21">
      <c r="A58" s="1" t="s">
        <v>145</v>
      </c>
      <c r="B58" s="1"/>
      <c r="C58" s="1"/>
      <c r="D58" s="1"/>
      <c r="E58" s="97">
        <v>3810217806.1199999</v>
      </c>
      <c r="F58" s="1"/>
      <c r="G58" s="1"/>
      <c r="H58" s="1"/>
      <c r="I58" s="1"/>
      <c r="J58" s="97">
        <v>1343962015.4000001</v>
      </c>
      <c r="K58" s="97">
        <v>1210618208.7</v>
      </c>
      <c r="L58" s="97">
        <v>1959696969.6999998</v>
      </c>
      <c r="N58" s="446">
        <v>0.47748921283094414</v>
      </c>
      <c r="O58" s="446">
        <v>1</v>
      </c>
      <c r="P58" s="231">
        <v>1</v>
      </c>
    </row>
    <row r="59" spans="1:21">
      <c r="J59" s="97">
        <v>533175100</v>
      </c>
      <c r="N59" s="446">
        <v>2.4307701250055427</v>
      </c>
      <c r="O59" s="446">
        <v>0.999660976358409</v>
      </c>
      <c r="P59" s="231">
        <v>1</v>
      </c>
      <c r="T59" s="447"/>
    </row>
    <row r="60" spans="1:21">
      <c r="B60" s="354"/>
      <c r="C60" s="354"/>
      <c r="D60" s="354"/>
      <c r="E60" s="444">
        <v>-1.4901161193847656E-7</v>
      </c>
      <c r="N60" s="448">
        <v>1.000086924188901</v>
      </c>
      <c r="O60" s="448">
        <v>0.9999113108571327</v>
      </c>
      <c r="P60" s="449">
        <v>1</v>
      </c>
      <c r="T60" s="450"/>
    </row>
    <row r="61" spans="1:21">
      <c r="D61">
        <v>1</v>
      </c>
      <c r="F61">
        <v>0.82037716162898355</v>
      </c>
      <c r="T61" s="451"/>
    </row>
    <row r="62" spans="1:21">
      <c r="A62" s="1" t="s">
        <v>146</v>
      </c>
      <c r="B62" s="105">
        <f>B3-B8-B11-B14-B17-B18-B20-B22-B24-B47</f>
        <v>0</v>
      </c>
      <c r="C62" s="105">
        <v>0</v>
      </c>
      <c r="D62" s="105">
        <v>0.76999998092651367</v>
      </c>
      <c r="E62" s="97">
        <v>0.9999997615814209</v>
      </c>
      <c r="F62" s="97"/>
      <c r="G62" s="436"/>
      <c r="H62" s="436"/>
      <c r="I62" s="436"/>
      <c r="J62" s="436"/>
      <c r="K62" s="436"/>
      <c r="L62" s="436"/>
      <c r="M62" s="436"/>
      <c r="N62" s="436"/>
      <c r="O62" s="436"/>
      <c r="P62" s="436"/>
      <c r="T62" s="450"/>
    </row>
    <row r="63" spans="1:21">
      <c r="A63" s="1" t="s">
        <v>147</v>
      </c>
      <c r="B63" s="97">
        <f>B4-B9-B12-B15-B19-B21-B23-B25-B27-B44-B45-B46</f>
        <v>0.94999992847442627</v>
      </c>
      <c r="C63" s="436">
        <v>-0.6045001745223999</v>
      </c>
      <c r="D63" s="436"/>
      <c r="E63" s="97">
        <v>-8.9406967163085938E-8</v>
      </c>
      <c r="F63" s="97"/>
      <c r="G63" s="97"/>
      <c r="H63" s="436"/>
      <c r="I63" s="436"/>
      <c r="J63" s="436"/>
      <c r="K63" s="436"/>
      <c r="L63" s="436"/>
      <c r="M63" s="436"/>
      <c r="N63" s="436"/>
      <c r="O63" s="436"/>
      <c r="P63" s="436"/>
      <c r="T63" s="1"/>
    </row>
    <row r="64" spans="1:21">
      <c r="G64" s="444"/>
    </row>
    <row r="65" spans="1:21">
      <c r="G65" s="452"/>
      <c r="H65" s="453"/>
      <c r="I65" s="453"/>
    </row>
    <row r="66" spans="1:21">
      <c r="E66" s="403">
        <v>2017</v>
      </c>
      <c r="F66" s="403">
        <v>2016</v>
      </c>
      <c r="G66" s="403">
        <v>2015</v>
      </c>
      <c r="H66" s="403">
        <v>2014</v>
      </c>
      <c r="I66" s="403">
        <v>2013</v>
      </c>
      <c r="J66" s="403">
        <v>2012</v>
      </c>
      <c r="K66" s="403">
        <v>2011</v>
      </c>
      <c r="L66" s="403">
        <v>2010</v>
      </c>
      <c r="M66" s="403">
        <v>2009</v>
      </c>
      <c r="N66" s="403">
        <v>2008</v>
      </c>
      <c r="O66" s="403">
        <v>2007</v>
      </c>
      <c r="P66" s="403">
        <v>2006</v>
      </c>
      <c r="Q66" s="403">
        <v>2005</v>
      </c>
      <c r="R66" s="403">
        <v>2004</v>
      </c>
      <c r="S66" s="403">
        <v>2003</v>
      </c>
      <c r="T66" s="403" t="s">
        <v>138</v>
      </c>
      <c r="U66" s="403" t="s">
        <v>139</v>
      </c>
    </row>
    <row r="67" spans="1:21">
      <c r="A67" s="1" t="s">
        <v>58</v>
      </c>
      <c r="B67" s="1"/>
      <c r="C67" s="1"/>
      <c r="D67" s="1"/>
      <c r="E67" s="444">
        <v>3029932174.5700002</v>
      </c>
      <c r="F67" s="444">
        <v>310068279.56</v>
      </c>
      <c r="G67" s="444">
        <v>1282090213</v>
      </c>
      <c r="H67" s="444">
        <v>726532000</v>
      </c>
      <c r="I67" s="444">
        <v>675757940</v>
      </c>
      <c r="J67" s="97">
        <v>762006178</v>
      </c>
      <c r="K67" s="97">
        <v>917248209</v>
      </c>
      <c r="L67" s="97">
        <v>399142544</v>
      </c>
      <c r="M67" s="97">
        <v>326297020</v>
      </c>
      <c r="N67" s="97">
        <v>134240000</v>
      </c>
      <c r="O67" s="97">
        <v>627287536.5</v>
      </c>
      <c r="P67" s="97">
        <v>618272849.5</v>
      </c>
      <c r="Q67" s="97">
        <v>273345311</v>
      </c>
      <c r="R67" s="97">
        <v>352404145</v>
      </c>
      <c r="S67" s="97">
        <v>271521463</v>
      </c>
      <c r="T67" s="97">
        <v>453396662</v>
      </c>
      <c r="U67" s="97">
        <v>418475905</v>
      </c>
    </row>
    <row r="68" spans="1:21">
      <c r="A68" s="1" t="s">
        <v>59</v>
      </c>
      <c r="B68" s="1"/>
      <c r="C68" s="1"/>
      <c r="D68" s="1"/>
      <c r="E68" s="1"/>
      <c r="F68" s="1"/>
      <c r="G68" s="1"/>
      <c r="H68" s="1"/>
      <c r="I68" s="1"/>
      <c r="J68" s="97">
        <v>99995837.400000006</v>
      </c>
      <c r="K68" s="97">
        <v>124994999.7</v>
      </c>
      <c r="L68" s="97">
        <v>95279609.400000006</v>
      </c>
      <c r="M68" s="97">
        <v>24999100.800000001</v>
      </c>
      <c r="N68" s="97">
        <v>74997184.099999994</v>
      </c>
      <c r="O68" s="97">
        <v>99999895.150000006</v>
      </c>
      <c r="P68" s="97">
        <v>0</v>
      </c>
      <c r="Q68" s="97">
        <v>0</v>
      </c>
      <c r="R68" s="97">
        <v>25000000</v>
      </c>
      <c r="S68" s="97">
        <v>100000000</v>
      </c>
      <c r="T68" s="97">
        <v>120000000</v>
      </c>
      <c r="U68" s="97">
        <v>0</v>
      </c>
    </row>
    <row r="69" spans="1:21">
      <c r="A69" s="1" t="s">
        <v>60</v>
      </c>
      <c r="B69" s="1"/>
      <c r="C69" s="1"/>
      <c r="D69" s="1"/>
      <c r="E69" s="1"/>
      <c r="F69" s="1"/>
      <c r="G69" s="1"/>
      <c r="H69" s="1"/>
      <c r="I69" s="1"/>
      <c r="J69" s="97">
        <v>10000000</v>
      </c>
      <c r="K69" s="97">
        <v>13300000</v>
      </c>
      <c r="L69" s="97">
        <v>3440000</v>
      </c>
      <c r="M69" s="97">
        <v>16043250</v>
      </c>
      <c r="N69" s="97">
        <v>40869207</v>
      </c>
      <c r="O69" s="97">
        <v>19402500</v>
      </c>
      <c r="P69" s="97">
        <v>0</v>
      </c>
      <c r="Q69" s="97">
        <v>7225000</v>
      </c>
      <c r="R69" s="97">
        <v>10000000</v>
      </c>
      <c r="S69" s="97">
        <v>3700000</v>
      </c>
      <c r="T69" s="97">
        <v>0</v>
      </c>
      <c r="U69" s="97">
        <v>0</v>
      </c>
    </row>
    <row r="70" spans="1:21">
      <c r="A70" s="1" t="s">
        <v>61</v>
      </c>
      <c r="B70" s="1"/>
      <c r="C70" s="1"/>
      <c r="D70" s="1"/>
      <c r="E70" s="97">
        <v>601072000</v>
      </c>
      <c r="F70" s="97">
        <v>578830500</v>
      </c>
      <c r="G70" s="97">
        <v>497506500</v>
      </c>
      <c r="H70" s="97">
        <v>197095000</v>
      </c>
      <c r="I70" s="97">
        <v>173205000</v>
      </c>
      <c r="J70" s="97">
        <v>110425000</v>
      </c>
      <c r="K70" s="97">
        <v>69875000</v>
      </c>
      <c r="L70" s="97">
        <v>36325000</v>
      </c>
      <c r="M70" s="97">
        <v>28690000</v>
      </c>
      <c r="N70" s="97">
        <v>124665714</v>
      </c>
      <c r="O70" s="97">
        <v>368269000</v>
      </c>
      <c r="P70" s="97">
        <v>431337562</v>
      </c>
      <c r="Q70" s="97">
        <v>537100000</v>
      </c>
      <c r="R70" s="97">
        <v>482250000</v>
      </c>
      <c r="S70" s="97">
        <v>512176000</v>
      </c>
      <c r="T70" s="97">
        <v>365185169</v>
      </c>
      <c r="U70" s="97">
        <v>319584000</v>
      </c>
    </row>
    <row r="71" spans="1:21">
      <c r="A71" s="1" t="s">
        <v>62</v>
      </c>
      <c r="B71" s="1"/>
      <c r="C71" s="1"/>
      <c r="D71" s="1"/>
      <c r="E71" s="1"/>
      <c r="F71" s="1"/>
      <c r="G71" s="1"/>
      <c r="H71" s="1"/>
      <c r="I71" s="1"/>
      <c r="J71" s="97">
        <v>0</v>
      </c>
      <c r="K71" s="97">
        <v>0</v>
      </c>
      <c r="L71" s="97">
        <v>293850000</v>
      </c>
      <c r="M71" s="97">
        <v>0</v>
      </c>
      <c r="N71" s="97">
        <v>58500000</v>
      </c>
      <c r="O71" s="97">
        <v>240405000</v>
      </c>
      <c r="P71" s="97">
        <v>191945000</v>
      </c>
      <c r="Q71" s="97">
        <v>656050000</v>
      </c>
      <c r="R71" s="97">
        <v>296200000</v>
      </c>
      <c r="S71" s="97">
        <v>140000000</v>
      </c>
      <c r="T71" s="97">
        <v>139500000</v>
      </c>
      <c r="U71" s="97">
        <v>136840000</v>
      </c>
    </row>
    <row r="72" spans="1:21">
      <c r="A72" s="1" t="s">
        <v>63</v>
      </c>
      <c r="B72" s="1"/>
      <c r="C72" s="1"/>
      <c r="D72" s="1"/>
      <c r="E72" s="1"/>
      <c r="F72" s="1"/>
      <c r="G72" s="1"/>
      <c r="H72" s="1"/>
      <c r="I72" s="1"/>
      <c r="J72" s="97">
        <v>361535000</v>
      </c>
      <c r="K72" s="97">
        <v>85200000</v>
      </c>
      <c r="L72" s="97">
        <v>588510316.29999995</v>
      </c>
      <c r="M72" s="97">
        <v>358800000</v>
      </c>
      <c r="N72" s="97">
        <v>658300000</v>
      </c>
      <c r="O72" s="97">
        <v>571735471</v>
      </c>
      <c r="P72" s="97">
        <v>725050000</v>
      </c>
      <c r="Q72" s="97">
        <v>144625000</v>
      </c>
      <c r="R72" s="97">
        <v>189355000</v>
      </c>
      <c r="S72" s="97">
        <v>413585000</v>
      </c>
      <c r="T72" s="97">
        <v>391800000</v>
      </c>
      <c r="U72" s="97">
        <v>384205000</v>
      </c>
    </row>
    <row r="73" spans="1:21">
      <c r="A73" s="1" t="s">
        <v>148</v>
      </c>
      <c r="B73" s="1"/>
      <c r="C73" s="1"/>
      <c r="D73" s="1"/>
      <c r="E73" s="1"/>
      <c r="F73" s="1"/>
      <c r="G73" s="1"/>
      <c r="H73" s="1"/>
      <c r="I73" s="1"/>
      <c r="J73" s="97">
        <v>853943988</v>
      </c>
      <c r="K73" s="97">
        <v>520447605</v>
      </c>
      <c r="L73" s="97">
        <v>146632500.35000002</v>
      </c>
      <c r="M73" s="97">
        <v>236080000</v>
      </c>
      <c r="N73" s="97">
        <v>101327449</v>
      </c>
      <c r="O73" s="97">
        <v>49580000</v>
      </c>
      <c r="P73" s="97">
        <v>95000000</v>
      </c>
      <c r="Q73" s="97">
        <v>39592476.549999997</v>
      </c>
      <c r="R73" s="97">
        <v>17850</v>
      </c>
      <c r="S73" s="97">
        <v>0</v>
      </c>
      <c r="T73" s="97">
        <v>0</v>
      </c>
      <c r="U73" s="97">
        <v>0</v>
      </c>
    </row>
    <row r="74" spans="1:21">
      <c r="J74" s="436">
        <v>2395986712.5999999</v>
      </c>
      <c r="K74" s="436">
        <v>2088812600.45</v>
      </c>
      <c r="L74" s="97">
        <v>1563179970.0499997</v>
      </c>
      <c r="M74" s="97">
        <v>990909370.79999995</v>
      </c>
      <c r="N74" s="97">
        <v>1192899554.0999999</v>
      </c>
      <c r="O74" s="97">
        <v>1976679402.6500001</v>
      </c>
      <c r="P74" s="97">
        <v>2061605411.5</v>
      </c>
      <c r="Q74" s="97">
        <v>1657937787.55</v>
      </c>
      <c r="R74" s="97">
        <v>1355226995</v>
      </c>
      <c r="S74" s="97">
        <v>1440982463</v>
      </c>
      <c r="T74" s="97">
        <v>1469881831</v>
      </c>
      <c r="U74" s="97">
        <v>1259104905</v>
      </c>
    </row>
    <row r="75" spans="1:21">
      <c r="F75" s="444">
        <v>4848200159.04</v>
      </c>
      <c r="L75" s="105">
        <v>3092089680.3499999</v>
      </c>
    </row>
    <row r="77" spans="1:21">
      <c r="A77" s="1" t="s">
        <v>149</v>
      </c>
      <c r="B77" s="1"/>
      <c r="C77" s="1"/>
      <c r="D77" s="1"/>
      <c r="E77" s="1"/>
      <c r="F77" s="1"/>
      <c r="G77" s="1"/>
      <c r="H77" s="1"/>
      <c r="I77" s="1"/>
    </row>
    <row r="78" spans="1:21">
      <c r="A78" s="1" t="s">
        <v>58</v>
      </c>
      <c r="B78" s="1"/>
      <c r="C78" s="1"/>
      <c r="D78" s="1"/>
      <c r="E78" s="1"/>
      <c r="F78" s="1"/>
      <c r="G78" s="1"/>
      <c r="H78" s="1"/>
      <c r="I78" s="1"/>
      <c r="J78" s="105">
        <v>228831078</v>
      </c>
      <c r="K78" s="105">
        <v>105842500</v>
      </c>
      <c r="L78" s="105">
        <v>66142544</v>
      </c>
      <c r="M78" s="105">
        <v>54664820</v>
      </c>
      <c r="N78" s="105">
        <v>99000000</v>
      </c>
    </row>
    <row r="79" spans="1:21">
      <c r="A79" s="1" t="s">
        <v>59</v>
      </c>
      <c r="B79" s="1"/>
      <c r="C79" s="1"/>
      <c r="D79" s="1"/>
      <c r="E79" s="1"/>
      <c r="F79" s="1"/>
      <c r="G79" s="1"/>
      <c r="H79" s="1"/>
      <c r="I79" s="1"/>
      <c r="J79" s="436">
        <v>0</v>
      </c>
      <c r="K79" s="436">
        <v>74994999.700000003</v>
      </c>
      <c r="L79" s="436">
        <v>95279609.400000006</v>
      </c>
      <c r="M79" s="436">
        <v>24999100.800000001</v>
      </c>
      <c r="N79" s="436">
        <v>74997184.099999994</v>
      </c>
    </row>
    <row r="80" spans="1:21">
      <c r="A80" s="1" t="s">
        <v>60</v>
      </c>
      <c r="B80" s="1"/>
      <c r="C80" s="1"/>
      <c r="D80" s="1"/>
      <c r="E80" s="1"/>
      <c r="F80" s="1"/>
      <c r="G80" s="1"/>
      <c r="H80" s="1"/>
      <c r="I80" s="1"/>
      <c r="J80" s="436">
        <v>10000000</v>
      </c>
      <c r="K80" s="436">
        <v>13300000</v>
      </c>
      <c r="L80" s="436">
        <v>3440000</v>
      </c>
      <c r="M80" s="436">
        <v>16043250</v>
      </c>
      <c r="N80" s="436">
        <v>40869207</v>
      </c>
    </row>
    <row r="81" spans="1:17">
      <c r="A81" s="1" t="s">
        <v>61</v>
      </c>
      <c r="B81" s="1"/>
      <c r="C81" s="1"/>
      <c r="D81" s="1"/>
      <c r="E81" s="1"/>
      <c r="F81" s="1"/>
      <c r="G81" s="1"/>
      <c r="H81" s="1"/>
      <c r="I81" s="1"/>
      <c r="J81" s="436">
        <v>90325000</v>
      </c>
      <c r="K81" s="436">
        <v>7250000</v>
      </c>
      <c r="L81" s="436">
        <v>5275000</v>
      </c>
      <c r="M81" s="436">
        <v>0</v>
      </c>
      <c r="N81" s="436">
        <v>38530714</v>
      </c>
    </row>
    <row r="82" spans="1:17">
      <c r="A82" s="1" t="s">
        <v>62</v>
      </c>
      <c r="B82" s="1"/>
      <c r="C82" s="1"/>
      <c r="D82" s="1"/>
      <c r="E82" s="1"/>
      <c r="F82" s="1"/>
      <c r="G82" s="1"/>
      <c r="H82" s="1"/>
      <c r="I82" s="1"/>
      <c r="J82" s="436">
        <v>0</v>
      </c>
      <c r="K82" s="436">
        <v>0</v>
      </c>
      <c r="L82" s="436">
        <v>85850000</v>
      </c>
      <c r="M82" s="436">
        <v>0</v>
      </c>
      <c r="N82" s="436">
        <v>58500000</v>
      </c>
    </row>
    <row r="83" spans="1:17">
      <c r="A83" s="1" t="s">
        <v>63</v>
      </c>
      <c r="B83" s="1"/>
      <c r="C83" s="1"/>
      <c r="D83" s="1"/>
      <c r="E83" s="1"/>
      <c r="F83" s="1"/>
      <c r="G83" s="1"/>
      <c r="H83" s="1"/>
      <c r="I83" s="1"/>
      <c r="J83" s="436">
        <v>361535000</v>
      </c>
      <c r="K83" s="436">
        <v>45000000</v>
      </c>
      <c r="L83" s="436">
        <v>445510316.30000001</v>
      </c>
      <c r="M83" s="436">
        <v>358800000</v>
      </c>
      <c r="N83" s="436">
        <v>658300000</v>
      </c>
    </row>
    <row r="84" spans="1:17">
      <c r="A84" s="1" t="s">
        <v>80</v>
      </c>
      <c r="B84" s="1"/>
      <c r="C84" s="1"/>
      <c r="D84" s="1"/>
      <c r="E84" s="1"/>
      <c r="F84" s="1"/>
      <c r="G84" s="1"/>
      <c r="H84" s="1"/>
      <c r="I84" s="1"/>
      <c r="J84" s="436">
        <v>951896000</v>
      </c>
      <c r="K84" s="436">
        <v>1135180000</v>
      </c>
      <c r="L84" s="436">
        <v>1528909710.3000002</v>
      </c>
      <c r="M84" s="436">
        <v>1734920489.2</v>
      </c>
      <c r="N84" s="436">
        <v>1043014493</v>
      </c>
    </row>
    <row r="85" spans="1:17">
      <c r="K85" s="105">
        <v>1381567499.7</v>
      </c>
      <c r="L85" s="105">
        <v>2230407180</v>
      </c>
      <c r="M85" s="105">
        <v>2189427660</v>
      </c>
      <c r="N85" s="105">
        <v>2013211598.0999999</v>
      </c>
    </row>
    <row r="87" spans="1:17">
      <c r="K87" s="105">
        <v>-1007260795.3</v>
      </c>
      <c r="L87" s="105">
        <v>0</v>
      </c>
      <c r="M87" s="105">
        <v>0</v>
      </c>
      <c r="N87" s="105">
        <v>-18660701.900000095</v>
      </c>
    </row>
    <row r="90" spans="1:17">
      <c r="E90" s="444">
        <v>4325052806.1199999</v>
      </c>
      <c r="F90" s="444">
        <v>1713214869.1599998</v>
      </c>
      <c r="G90" s="444">
        <v>2644902683.8000002</v>
      </c>
      <c r="H90" s="444">
        <v>1511242012</v>
      </c>
      <c r="I90" s="444">
        <v>2085725106.8</v>
      </c>
      <c r="J90" s="444">
        <v>2994413621</v>
      </c>
      <c r="K90" s="444">
        <v>2838332752.6999998</v>
      </c>
      <c r="L90" s="444">
        <v>2106329470.3500004</v>
      </c>
      <c r="M90" s="444">
        <v>1292409370.8</v>
      </c>
      <c r="N90" s="444">
        <v>1211560256.1377172</v>
      </c>
      <c r="O90" s="444">
        <v>1976679402.6500001</v>
      </c>
      <c r="P90" s="444">
        <v>2061605411.5</v>
      </c>
      <c r="Q90" s="444">
        <v>1657937787.55</v>
      </c>
    </row>
    <row r="91" spans="1:17">
      <c r="E91" s="444">
        <v>22723182948.867718</v>
      </c>
      <c r="F91" s="444">
        <v>20374809545.39772</v>
      </c>
    </row>
    <row r="95" spans="1:17">
      <c r="A95" t="s">
        <v>586</v>
      </c>
      <c r="B95" s="444">
        <f>'2017 CF'!M12+'2017 CF'!M21+'2017 CF'!M26</f>
        <v>82005055.920000136</v>
      </c>
    </row>
    <row r="96" spans="1:17">
      <c r="A96" t="s">
        <v>587</v>
      </c>
      <c r="B96" s="444">
        <f>'2017 CF'!L12+'2017 CF'!L26+'2018 CF'!L14+'2018 CF'!L31+'2018 CF'!L37+'2018 CF'!L48+'2019 CF'!L18+'2019 CF'!L40+'2019 CF'!L65+'2019 CF'!L70</f>
        <v>2160654107.2744999</v>
      </c>
    </row>
    <row r="97" spans="1:2">
      <c r="A97" t="s">
        <v>588</v>
      </c>
      <c r="B97" s="444">
        <f>'2018 CF'!M14+'2018 CF'!M31+'2018 CF'!M37+'2018 CF'!M48+'2019 CF'!M18+'2019 CF'!M40+'2019 CF'!M65+'2019 CF'!M70</f>
        <v>1133331740.9000001</v>
      </c>
    </row>
    <row r="98" spans="1:2">
      <c r="A98" t="s">
        <v>582</v>
      </c>
      <c r="B98" s="444">
        <f>'2020 CF'!M41+'2020 CF'!M76+'2020 CF'!M81</f>
        <v>1748704688</v>
      </c>
    </row>
    <row r="99" spans="1:2">
      <c r="A99" t="s">
        <v>583</v>
      </c>
      <c r="B99" s="559">
        <f>'2020 CF'!F24</f>
        <v>96023000.300000072</v>
      </c>
    </row>
    <row r="100" spans="1:2">
      <c r="A100" t="s">
        <v>589</v>
      </c>
      <c r="B100" s="444">
        <f>SUM(B98:B99)</f>
        <v>1844727688.3000002</v>
      </c>
    </row>
    <row r="101" spans="1:2">
      <c r="A101" t="s">
        <v>584</v>
      </c>
      <c r="B101" s="444">
        <f>'Aug 15'!N50+'SC1 MRB'!N20+'SC2 State Voted'!L9+'SC3 Small Issue IDBs'!L11+'SC4 TSAHC'!L19+'SC4 MF- TDHCA'!L29+'SC4 MF- Local Collapse'!L44+'REGION 1'!L9+'REGION 2'!L8+'REGION 3'!L15+'REGION 4'!L8+'REGION 5'!L8+'REGION 6'!L16+'REGION 7'!L16+'REGION 8'!L8+'REGION 9'!L14+'REGION 10'!L8+'REGION 11'!L8+'REGION 12'!L9+'REGION 13'!L8+'SC5 OTHER'!L76</f>
        <v>1199839816.7</v>
      </c>
    </row>
    <row r="103" spans="1:2">
      <c r="A103" t="s">
        <v>585</v>
      </c>
      <c r="B103" s="560">
        <f>B101+B100</f>
        <v>3044567505</v>
      </c>
    </row>
    <row r="104" spans="1:2">
      <c r="A104" t="s">
        <v>590</v>
      </c>
      <c r="B104" s="560">
        <f>B103+B97+B96+B95</f>
        <v>6420558409.0944996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13</vt:i4>
      </vt:variant>
    </vt:vector>
  </HeadingPairs>
  <TitlesOfParts>
    <vt:vector size="40" baseType="lpstr">
      <vt:lpstr>Totals</vt:lpstr>
      <vt:lpstr>2020 CF</vt:lpstr>
      <vt:lpstr>Aug 15</vt:lpstr>
      <vt:lpstr>SC1 MRB</vt:lpstr>
      <vt:lpstr>SC2 State Voted</vt:lpstr>
      <vt:lpstr>SC3 Small Issue IDBs</vt:lpstr>
      <vt:lpstr>SC4 TSAHC</vt:lpstr>
      <vt:lpstr>SC4 MF- TDHCA</vt:lpstr>
      <vt:lpstr>SC4 MF- Local Collapse</vt:lpstr>
      <vt:lpstr>REGION 1</vt:lpstr>
      <vt:lpstr>REGION 2</vt:lpstr>
      <vt:lpstr>REGION 3</vt:lpstr>
      <vt:lpstr>REGION 4</vt:lpstr>
      <vt:lpstr>REGION 5</vt:lpstr>
      <vt:lpstr>REGION 6</vt:lpstr>
      <vt:lpstr>REGION 7</vt:lpstr>
      <vt:lpstr>REGION 8</vt:lpstr>
      <vt:lpstr>REGION 9</vt:lpstr>
      <vt:lpstr>REGION 10</vt:lpstr>
      <vt:lpstr>REGION 11</vt:lpstr>
      <vt:lpstr>REGION 12</vt:lpstr>
      <vt:lpstr>REGION 13</vt:lpstr>
      <vt:lpstr>SC5 OTHER</vt:lpstr>
      <vt:lpstr>2017 CF</vt:lpstr>
      <vt:lpstr>2018 CF</vt:lpstr>
      <vt:lpstr>2019 CF</vt:lpstr>
      <vt:lpstr>Bond Buyer</vt:lpstr>
      <vt:lpstr>'REGION 1'!Print_Area</vt:lpstr>
      <vt:lpstr>'REGION 2'!Print_Area</vt:lpstr>
      <vt:lpstr>'REGION 3'!Print_Area</vt:lpstr>
      <vt:lpstr>'REGION 6'!Print_Area</vt:lpstr>
      <vt:lpstr>'SC1 MRB'!Print_Area</vt:lpstr>
      <vt:lpstr>'SC2 State Voted'!Print_Area</vt:lpstr>
      <vt:lpstr>'SC3 Small Issue IDBs'!Print_Area</vt:lpstr>
      <vt:lpstr>'SC4 MF- TDHCA'!Print_Area</vt:lpstr>
      <vt:lpstr>'SC5 OTHER'!Print_Area</vt:lpstr>
      <vt:lpstr>Totals!Print_Area</vt:lpstr>
      <vt:lpstr>'SC2 State Voted'!Print_Titles</vt:lpstr>
      <vt:lpstr>'SC3 Small Issue IDBs'!Print_Titles</vt:lpstr>
      <vt:lpstr>'SC4 MF- TDHCA'!Print_Titles</vt:lpstr>
    </vt:vector>
  </TitlesOfParts>
  <Company>Texas Bond Review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Texas Bond Review Board</dc:creator>
  <cp:lastModifiedBy>Jamie Backiel</cp:lastModifiedBy>
  <cp:lastPrinted>2019-02-19T15:22:39Z</cp:lastPrinted>
  <dcterms:created xsi:type="dcterms:W3CDTF">1998-10-28T19:13:07Z</dcterms:created>
  <dcterms:modified xsi:type="dcterms:W3CDTF">2023-02-08T17:47:22Z</dcterms:modified>
</cp:coreProperties>
</file>