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AB\2023 PAB\"/>
    </mc:Choice>
  </mc:AlternateContent>
  <xr:revisionPtr revIDLastSave="0" documentId="13_ncr:1_{F526F6C5-DD5F-4388-86CA-DE0CCC57B5C4}" xr6:coauthVersionLast="47" xr6:coauthVersionMax="47" xr10:uidLastSave="{00000000-0000-0000-0000-000000000000}"/>
  <bookViews>
    <workbookView xWindow="-13650" yWindow="-16200" windowWidth="28800" windowHeight="15600" tabRatio="933" xr2:uid="{00000000-000D-0000-FFFF-FFFF00000000}"/>
  </bookViews>
  <sheets>
    <sheet name="Totals" sheetId="5" r:id="rId1"/>
    <sheet name="2023 CF" sheetId="104" r:id="rId2"/>
    <sheet name="Aug 15" sheetId="103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0 CF" sheetId="100" r:id="rId24"/>
    <sheet name="2021 CF" sheetId="101" r:id="rId25"/>
    <sheet name="2022 CF" sheetId="102" r:id="rId26"/>
    <sheet name="Bond Buyer" sheetId="93" r:id="rId27"/>
  </sheets>
  <definedNames>
    <definedName name="_xlnm._FilterDatabase" localSheetId="23" hidden="1">'2020 CF'!$A$21:$S$21</definedName>
    <definedName name="_xlnm._FilterDatabase" localSheetId="2" hidden="1">'Aug 15'!$A$6:$T$37</definedName>
    <definedName name="_xlnm._FilterDatabase" localSheetId="8" hidden="1">'SC4 MF- Local Collapse'!$A$6:$S$39</definedName>
    <definedName name="_xlnm._FilterDatabase" localSheetId="7" hidden="1">'SC4 MF- TDHCA'!$A$6:$S$15</definedName>
    <definedName name="_xlnm._FilterDatabase" localSheetId="22" hidden="1">'SC5 OTHER'!$A$6:$S$66</definedName>
    <definedName name="_xlnm.Print_Area" localSheetId="9">'REGION 1'!$A$1:$P$16</definedName>
    <definedName name="_xlnm.Print_Area" localSheetId="10">'REGION 2'!$A$1:$P$13</definedName>
    <definedName name="_xlnm.Print_Area" localSheetId="11">'REGION 3'!$A$1:$P$29</definedName>
    <definedName name="_xlnm.Print_Area" localSheetId="14">'REGION 6'!$A$1:$P$36</definedName>
    <definedName name="_xlnm.Print_Area" localSheetId="3">'SC1 MRB'!$A$1:$R$47</definedName>
    <definedName name="_xlnm.Print_Area" localSheetId="4">'SC2 State Voted'!$A$1:$P$24</definedName>
    <definedName name="_xlnm.Print_Area" localSheetId="5">'SC3 Small Issue IDBs'!$A$1:$P$29</definedName>
    <definedName name="_xlnm.Print_Area" localSheetId="7">'SC4 MF- TDHCA'!$A$1:$P$29</definedName>
    <definedName name="_xlnm.Print_Area" localSheetId="22">'SC5 OTHER'!$A$1:$P$106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04" l="1"/>
  <c r="T6" i="104" s="1"/>
  <c r="M7" i="104"/>
  <c r="M12" i="104"/>
  <c r="M14" i="104"/>
  <c r="M15" i="104"/>
  <c r="T15" i="104" s="1"/>
  <c r="M16" i="104"/>
  <c r="T16" i="104" s="1"/>
  <c r="M17" i="104"/>
  <c r="M18" i="104"/>
  <c r="M19" i="104"/>
  <c r="T7" i="104"/>
  <c r="T12" i="104"/>
  <c r="T14" i="104"/>
  <c r="M20" i="104"/>
  <c r="T20" i="104"/>
  <c r="J20" i="104"/>
  <c r="T31" i="104"/>
  <c r="T17" i="104"/>
  <c r="T18" i="104"/>
  <c r="T19" i="104"/>
  <c r="G19" i="104"/>
  <c r="G28" i="104"/>
  <c r="F31" i="104" s="1"/>
  <c r="J15" i="104"/>
  <c r="G18" i="104"/>
  <c r="G12" i="104" l="1"/>
  <c r="G13" i="104"/>
  <c r="G14" i="104"/>
  <c r="G15" i="104"/>
  <c r="G16" i="104"/>
  <c r="G17" i="104"/>
  <c r="G7" i="104"/>
  <c r="G6" i="104"/>
  <c r="H27" i="5" l="1"/>
  <c r="I27" i="5"/>
  <c r="I26" i="5"/>
  <c r="B49" i="93" l="1"/>
  <c r="T94" i="102"/>
  <c r="T91" i="102"/>
  <c r="T89" i="102"/>
  <c r="T76" i="102"/>
  <c r="T86" i="102" s="1"/>
  <c r="T75" i="102"/>
  <c r="T61" i="102"/>
  <c r="M86" i="102"/>
  <c r="T81" i="102"/>
  <c r="T73" i="102"/>
  <c r="T68" i="102"/>
  <c r="T66" i="102"/>
  <c r="T65" i="102"/>
  <c r="T57" i="102"/>
  <c r="T52" i="102"/>
  <c r="T51" i="102"/>
  <c r="T50" i="102"/>
  <c r="T21" i="102"/>
  <c r="T11" i="102"/>
  <c r="B15" i="93" l="1"/>
  <c r="B21" i="93"/>
  <c r="Q47" i="103"/>
  <c r="J94" i="102"/>
  <c r="M94" i="102"/>
  <c r="J57" i="102"/>
  <c r="L21" i="102"/>
  <c r="J44" i="101"/>
  <c r="J35" i="100"/>
  <c r="M83" i="104"/>
  <c r="T83" i="104" s="1"/>
  <c r="M82" i="104"/>
  <c r="T82" i="104" s="1"/>
  <c r="M28" i="104"/>
  <c r="L28" i="104"/>
  <c r="J28" i="104"/>
  <c r="J98" i="104" s="1"/>
  <c r="F28" i="104"/>
  <c r="J66" i="104"/>
  <c r="L66" i="104"/>
  <c r="M98" i="104" l="1"/>
  <c r="O20" i="86"/>
  <c r="B9" i="93" l="1"/>
  <c r="Q48" i="103"/>
  <c r="L50" i="102"/>
  <c r="M64" i="104" l="1"/>
  <c r="T64" i="104" s="1"/>
  <c r="M60" i="104"/>
  <c r="T60" i="104" s="1"/>
  <c r="M61" i="104"/>
  <c r="T61" i="104" s="1"/>
  <c r="M62" i="104"/>
  <c r="T62" i="104" s="1"/>
  <c r="M49" i="104"/>
  <c r="M50" i="104"/>
  <c r="T50" i="104" s="1"/>
  <c r="M51" i="104"/>
  <c r="T51" i="104" s="1"/>
  <c r="M52" i="104"/>
  <c r="T52" i="104" s="1"/>
  <c r="M53" i="104"/>
  <c r="T53" i="104" s="1"/>
  <c r="M54" i="104"/>
  <c r="T54" i="104" s="1"/>
  <c r="M55" i="104"/>
  <c r="T55" i="104" s="1"/>
  <c r="M56" i="104"/>
  <c r="T56" i="104" s="1"/>
  <c r="M57" i="104"/>
  <c r="T57" i="104" s="1"/>
  <c r="M58" i="104"/>
  <c r="T58" i="104" s="1"/>
  <c r="P17" i="30"/>
  <c r="O12" i="30"/>
  <c r="M81" i="104"/>
  <c r="T81" i="104" s="1"/>
  <c r="M88" i="104"/>
  <c r="T88" i="104" s="1"/>
  <c r="M90" i="104"/>
  <c r="T90" i="104" s="1"/>
  <c r="M89" i="104"/>
  <c r="T89" i="104" s="1"/>
  <c r="M79" i="104"/>
  <c r="T79" i="104" s="1"/>
  <c r="T49" i="104" l="1"/>
  <c r="L66" i="102"/>
  <c r="O80" i="24"/>
  <c r="L95" i="104" l="1"/>
  <c r="J95" i="104"/>
  <c r="M63" i="104"/>
  <c r="T63" i="104" s="1"/>
  <c r="M59" i="104"/>
  <c r="T59" i="104" l="1"/>
  <c r="T66" i="104" s="1"/>
  <c r="M66" i="104"/>
  <c r="M70" i="104"/>
  <c r="T70" i="104" s="1"/>
  <c r="M80" i="104"/>
  <c r="T80" i="104" s="1"/>
  <c r="M71" i="104"/>
  <c r="T71" i="104" s="1"/>
  <c r="M92" i="104"/>
  <c r="M93" i="104"/>
  <c r="M87" i="104"/>
  <c r="T87" i="104" s="1"/>
  <c r="M86" i="104" l="1"/>
  <c r="T86" i="104" s="1"/>
  <c r="M77" i="104"/>
  <c r="T77" i="104" s="1"/>
  <c r="M75" i="104"/>
  <c r="T75" i="104" s="1"/>
  <c r="M73" i="104"/>
  <c r="T73" i="104" s="1"/>
  <c r="M78" i="104"/>
  <c r="T78" i="104" s="1"/>
  <c r="M84" i="104"/>
  <c r="T84" i="104" s="1"/>
  <c r="O82" i="24"/>
  <c r="O21" i="86"/>
  <c r="B12" i="93"/>
  <c r="Q38" i="103"/>
  <c r="N87" i="24"/>
  <c r="O18" i="86" l="1"/>
  <c r="O83" i="24"/>
  <c r="M76" i="104"/>
  <c r="T76" i="104" s="1"/>
  <c r="O71" i="24"/>
  <c r="O19" i="86"/>
  <c r="M69" i="104"/>
  <c r="O64" i="24"/>
  <c r="T69" i="104" l="1"/>
  <c r="O18" i="7"/>
  <c r="M72" i="104"/>
  <c r="M74" i="104"/>
  <c r="T74" i="104" s="1"/>
  <c r="M85" i="104"/>
  <c r="T85" i="104" s="1"/>
  <c r="L10" i="102"/>
  <c r="T72" i="104" l="1"/>
  <c r="T95" i="104" s="1"/>
  <c r="F24" i="102"/>
  <c r="O67" i="24"/>
  <c r="M14" i="102"/>
  <c r="G11" i="102"/>
  <c r="J11" i="102" s="1"/>
  <c r="M11" i="102" s="1"/>
  <c r="G10" i="102"/>
  <c r="J10" i="102" s="1"/>
  <c r="M10" i="102" s="1"/>
  <c r="G7" i="102"/>
  <c r="J7" i="102" s="1"/>
  <c r="M7" i="102" s="1"/>
  <c r="L6" i="102"/>
  <c r="G6" i="102"/>
  <c r="J6" i="102" s="1"/>
  <c r="M6" i="102" s="1"/>
  <c r="N17" i="86"/>
  <c r="O17" i="86" s="1"/>
  <c r="B23" i="93" l="1"/>
  <c r="M38" i="103"/>
  <c r="O38" i="103"/>
  <c r="L53" i="102"/>
  <c r="O47" i="103"/>
  <c r="M47" i="103"/>
  <c r="M89" i="102"/>
  <c r="O48" i="103"/>
  <c r="O37" i="103"/>
  <c r="M48" i="103"/>
  <c r="M50" i="102"/>
  <c r="M46" i="102"/>
  <c r="M47" i="102"/>
  <c r="M48" i="102"/>
  <c r="M49" i="102"/>
  <c r="M45" i="102"/>
  <c r="M37" i="103"/>
  <c r="O46" i="103"/>
  <c r="M46" i="103"/>
  <c r="G66" i="103"/>
  <c r="M61" i="102"/>
  <c r="J45" i="103"/>
  <c r="B8" i="5"/>
  <c r="P49" i="103" l="1"/>
  <c r="N49" i="103"/>
  <c r="H49" i="103"/>
  <c r="M91" i="104" l="1"/>
  <c r="M95" i="104" s="1"/>
  <c r="Q39" i="103"/>
  <c r="O62" i="24"/>
  <c r="O76" i="24"/>
  <c r="O44" i="103"/>
  <c r="M44" i="103"/>
  <c r="L81" i="102"/>
  <c r="O41" i="103"/>
  <c r="M41" i="103"/>
  <c r="J44" i="103"/>
  <c r="M75" i="102"/>
  <c r="M34" i="103"/>
  <c r="O34" i="103"/>
  <c r="M35" i="103"/>
  <c r="O35" i="103"/>
  <c r="M36" i="103"/>
  <c r="O36" i="103"/>
  <c r="O33" i="103"/>
  <c r="M33" i="103"/>
  <c r="J43" i="103"/>
  <c r="O32" i="103"/>
  <c r="M32" i="103"/>
  <c r="M30" i="103"/>
  <c r="O30" i="103"/>
  <c r="O60" i="24"/>
  <c r="O65" i="24"/>
  <c r="J42" i="103" l="1"/>
  <c r="J41" i="103"/>
  <c r="O90" i="24"/>
  <c r="O16" i="86"/>
  <c r="N16" i="86"/>
  <c r="O56" i="24"/>
  <c r="O32" i="24"/>
  <c r="M29" i="103"/>
  <c r="O29" i="103"/>
  <c r="M68" i="102"/>
  <c r="Q17" i="14"/>
  <c r="O27" i="103"/>
  <c r="M28" i="103"/>
  <c r="O28" i="103"/>
  <c r="M27" i="103"/>
  <c r="O11" i="30"/>
  <c r="O35" i="24"/>
  <c r="O26" i="103" l="1"/>
  <c r="M26" i="103"/>
  <c r="O10" i="86"/>
  <c r="O19" i="7" l="1"/>
  <c r="N19" i="7"/>
  <c r="N13" i="86"/>
  <c r="O13" i="86" s="1"/>
  <c r="N12" i="86"/>
  <c r="O12" i="86" s="1"/>
  <c r="L52" i="102"/>
  <c r="M24" i="103"/>
  <c r="O24" i="103"/>
  <c r="M25" i="103"/>
  <c r="O25" i="103"/>
  <c r="O23" i="103"/>
  <c r="M23" i="103"/>
  <c r="O9" i="21"/>
  <c r="M39" i="103" l="1"/>
  <c r="L30" i="100"/>
  <c r="J39" i="103"/>
  <c r="K39" i="103" s="1"/>
  <c r="O7" i="78"/>
  <c r="M16" i="103"/>
  <c r="O16" i="103"/>
  <c r="M15" i="103"/>
  <c r="O15" i="103"/>
  <c r="L76" i="102"/>
  <c r="M9" i="103"/>
  <c r="O9" i="103"/>
  <c r="M10" i="103"/>
  <c r="O10" i="103"/>
  <c r="M11" i="103"/>
  <c r="O11" i="103"/>
  <c r="M12" i="103"/>
  <c r="O12" i="103"/>
  <c r="M14" i="103"/>
  <c r="O14" i="103"/>
  <c r="O7" i="103"/>
  <c r="M7" i="103"/>
  <c r="O7" i="86" l="1"/>
  <c r="J38" i="103"/>
  <c r="J13" i="103" l="1"/>
  <c r="J31" i="103"/>
  <c r="J32" i="103"/>
  <c r="J33" i="103"/>
  <c r="J34" i="103"/>
  <c r="J24" i="103"/>
  <c r="K24" i="103" s="1"/>
  <c r="J25" i="103"/>
  <c r="K25" i="103" s="1"/>
  <c r="J26" i="103"/>
  <c r="K26" i="103" s="1"/>
  <c r="J27" i="103"/>
  <c r="K27" i="103" s="1"/>
  <c r="Q27" i="103" s="1"/>
  <c r="J28" i="103"/>
  <c r="K28" i="103" s="1"/>
  <c r="Q28" i="103" s="1"/>
  <c r="J22" i="103"/>
  <c r="K22" i="103" s="1"/>
  <c r="J23" i="103"/>
  <c r="K23" i="103" s="1"/>
  <c r="J20" i="103"/>
  <c r="K20" i="103" s="1"/>
  <c r="J21" i="103"/>
  <c r="K21" i="103" s="1"/>
  <c r="J9" i="103"/>
  <c r="K9" i="103" s="1"/>
  <c r="J10" i="103"/>
  <c r="K10" i="103" s="1"/>
  <c r="J11" i="103"/>
  <c r="K11" i="103" s="1"/>
  <c r="J12" i="103"/>
  <c r="K12" i="103" s="1"/>
  <c r="Q12" i="103" s="1"/>
  <c r="J14" i="103"/>
  <c r="K14" i="103" s="1"/>
  <c r="J15" i="103"/>
  <c r="J16" i="103"/>
  <c r="K16" i="103" s="1"/>
  <c r="Q16" i="103" s="1"/>
  <c r="J17" i="103"/>
  <c r="J18" i="103"/>
  <c r="J19" i="103"/>
  <c r="K19" i="103" s="1"/>
  <c r="J29" i="103"/>
  <c r="J30" i="103"/>
  <c r="J35" i="103"/>
  <c r="J36" i="103"/>
  <c r="J7" i="103"/>
  <c r="J37" i="103"/>
  <c r="O25" i="19"/>
  <c r="J49" i="103" l="1"/>
  <c r="Q49" i="103"/>
  <c r="K7" i="103"/>
  <c r="K49" i="103" s="1"/>
  <c r="K12" i="30"/>
  <c r="M12" i="30"/>
  <c r="H16" i="30"/>
  <c r="O10" i="30"/>
  <c r="L31" i="101"/>
  <c r="O75" i="24"/>
  <c r="O17" i="19"/>
  <c r="M28" i="14"/>
  <c r="K28" i="14"/>
  <c r="H51" i="103" l="1"/>
  <c r="C8" i="5"/>
  <c r="O28" i="14"/>
  <c r="K30" i="14"/>
  <c r="H30" i="14"/>
  <c r="J29" i="14"/>
  <c r="J30" i="14" s="1"/>
  <c r="J28" i="14"/>
  <c r="O15" i="24"/>
  <c r="O19" i="24" l="1"/>
  <c r="B11" i="93"/>
  <c r="P30" i="14" l="1"/>
  <c r="N30" i="14"/>
  <c r="M27" i="14"/>
  <c r="O27" i="14"/>
  <c r="J27" i="14"/>
  <c r="K27" i="14"/>
  <c r="O11" i="86"/>
  <c r="M25" i="14"/>
  <c r="M21" i="14"/>
  <c r="O21" i="14"/>
  <c r="M22" i="14"/>
  <c r="O22" i="14"/>
  <c r="M23" i="14"/>
  <c r="O23" i="14"/>
  <c r="M24" i="14"/>
  <c r="O24" i="14"/>
  <c r="O25" i="14"/>
  <c r="M26" i="14"/>
  <c r="O26" i="14"/>
  <c r="M20" i="14"/>
  <c r="O20" i="14"/>
  <c r="K24" i="14"/>
  <c r="K25" i="14"/>
  <c r="J26" i="14"/>
  <c r="K26" i="14" s="1"/>
  <c r="J25" i="14"/>
  <c r="J24" i="14"/>
  <c r="J23" i="14"/>
  <c r="K23" i="14" s="1"/>
  <c r="J22" i="14"/>
  <c r="K22" i="14" s="1"/>
  <c r="J21" i="14"/>
  <c r="K21" i="14" s="1"/>
  <c r="O9" i="19"/>
  <c r="J20" i="14"/>
  <c r="K20" i="14" s="1"/>
  <c r="M19" i="14"/>
  <c r="O19" i="14"/>
  <c r="J19" i="14"/>
  <c r="M18" i="14"/>
  <c r="O18" i="14"/>
  <c r="J18" i="14"/>
  <c r="K18" i="14" s="1"/>
  <c r="L44" i="102"/>
  <c r="M52" i="102"/>
  <c r="G39" i="14"/>
  <c r="M17" i="14"/>
  <c r="O17" i="14"/>
  <c r="J17" i="14"/>
  <c r="L67" i="102"/>
  <c r="O9" i="30"/>
  <c r="N9" i="30"/>
  <c r="M84" i="24"/>
  <c r="K84" i="24"/>
  <c r="I84" i="24"/>
  <c r="O84" i="24" s="1"/>
  <c r="O79" i="24"/>
  <c r="O10" i="18" l="1"/>
  <c r="N10" i="18"/>
  <c r="O10" i="12"/>
  <c r="N10" i="12"/>
  <c r="L6" i="100"/>
  <c r="O34" i="24"/>
  <c r="H44" i="86"/>
  <c r="N36" i="24"/>
  <c r="O36" i="24" s="1"/>
  <c r="M16" i="14"/>
  <c r="O16" i="14"/>
  <c r="J16" i="14"/>
  <c r="K16" i="14" s="1"/>
  <c r="O37" i="24"/>
  <c r="O39" i="24" l="1"/>
  <c r="O14" i="7"/>
  <c r="M15" i="14"/>
  <c r="O15" i="14"/>
  <c r="O8" i="77"/>
  <c r="J15" i="14" l="1"/>
  <c r="O25" i="24"/>
  <c r="O28" i="24"/>
  <c r="O13" i="24"/>
  <c r="O8" i="12"/>
  <c r="O9" i="12"/>
  <c r="M14" i="14"/>
  <c r="O14" i="14"/>
  <c r="J14" i="14"/>
  <c r="O8" i="21"/>
  <c r="O7" i="4"/>
  <c r="N100" i="24"/>
  <c r="L100" i="24"/>
  <c r="H100" i="24"/>
  <c r="O50" i="24" l="1"/>
  <c r="O17" i="24"/>
  <c r="O11" i="7"/>
  <c r="Q12" i="14"/>
  <c r="M83" i="24"/>
  <c r="K83" i="24"/>
  <c r="O16" i="24"/>
  <c r="O9" i="24"/>
  <c r="M13" i="14"/>
  <c r="O13" i="14"/>
  <c r="J13" i="14"/>
  <c r="K13" i="14" s="1"/>
  <c r="O7" i="30"/>
  <c r="O13" i="7"/>
  <c r="O7" i="7"/>
  <c r="M82" i="24"/>
  <c r="K82" i="24"/>
  <c r="K21" i="86"/>
  <c r="M21" i="86"/>
  <c r="K11" i="30"/>
  <c r="M11" i="30"/>
  <c r="O8" i="30"/>
  <c r="M80" i="24"/>
  <c r="K80" i="24"/>
  <c r="O7" i="24"/>
  <c r="O77" i="24"/>
  <c r="O54" i="24" l="1"/>
  <c r="K20" i="86" l="1"/>
  <c r="M20" i="86"/>
  <c r="M19" i="86"/>
  <c r="K19" i="86"/>
  <c r="K19" i="7"/>
  <c r="M19" i="7"/>
  <c r="O7" i="18"/>
  <c r="M18" i="86"/>
  <c r="K18" i="86"/>
  <c r="K18" i="7"/>
  <c r="M18" i="7"/>
  <c r="O12" i="14" l="1"/>
  <c r="M12" i="14"/>
  <c r="O40" i="24" l="1"/>
  <c r="O53" i="24"/>
  <c r="N44" i="86"/>
  <c r="L44" i="86"/>
  <c r="J12" i="14"/>
  <c r="B20" i="93"/>
  <c r="M79" i="24"/>
  <c r="K79" i="24"/>
  <c r="O31" i="24"/>
  <c r="N22" i="7" l="1"/>
  <c r="L22" i="7"/>
  <c r="I22" i="7"/>
  <c r="H22" i="7"/>
  <c r="K76" i="24"/>
  <c r="M76" i="24"/>
  <c r="O11" i="18"/>
  <c r="O17" i="7" l="1"/>
  <c r="O12" i="7"/>
  <c r="O8" i="86"/>
  <c r="O44" i="86" s="1"/>
  <c r="O30" i="24" l="1"/>
  <c r="O8" i="18"/>
  <c r="M71" i="24"/>
  <c r="K71" i="24"/>
  <c r="O48" i="24"/>
  <c r="O10" i="24" l="1"/>
  <c r="O11" i="24"/>
  <c r="M10" i="30"/>
  <c r="K10" i="30"/>
  <c r="O12" i="24"/>
  <c r="M68" i="24" l="1"/>
  <c r="M67" i="24"/>
  <c r="M65" i="24"/>
  <c r="K68" i="24"/>
  <c r="K67" i="24"/>
  <c r="K65" i="24"/>
  <c r="I68" i="24"/>
  <c r="O68" i="24" s="1"/>
  <c r="I67" i="24"/>
  <c r="I65" i="24"/>
  <c r="O49" i="24"/>
  <c r="O72" i="24" l="1"/>
  <c r="M64" i="24"/>
  <c r="K64" i="24"/>
  <c r="O33" i="24"/>
  <c r="O27" i="24"/>
  <c r="M17" i="86"/>
  <c r="K17" i="86"/>
  <c r="O26" i="24" l="1"/>
  <c r="O7" i="6"/>
  <c r="O23" i="24"/>
  <c r="M33" i="102"/>
  <c r="L33" i="102"/>
  <c r="J33" i="102"/>
  <c r="G33" i="102"/>
  <c r="F33" i="102"/>
  <c r="G35" i="19"/>
  <c r="H26" i="12"/>
  <c r="G53" i="86"/>
  <c r="M11" i="14" l="1"/>
  <c r="M90" i="24"/>
  <c r="K90" i="24"/>
  <c r="O11" i="14"/>
  <c r="J11" i="14"/>
  <c r="K11" i="14" s="1"/>
  <c r="Q11" i="14" s="1"/>
  <c r="G110" i="24"/>
  <c r="M87" i="24"/>
  <c r="K87" i="24"/>
  <c r="O20" i="24"/>
  <c r="O7" i="12"/>
  <c r="O22" i="24"/>
  <c r="O47" i="24"/>
  <c r="O11" i="12"/>
  <c r="M25" i="100"/>
  <c r="M24" i="100"/>
  <c r="M20" i="24"/>
  <c r="M35" i="24"/>
  <c r="M62" i="24"/>
  <c r="K62" i="24"/>
  <c r="I62" i="24"/>
  <c r="M60" i="24"/>
  <c r="K60" i="24"/>
  <c r="I60" i="24"/>
  <c r="M32" i="24"/>
  <c r="K35" i="24"/>
  <c r="K32" i="24"/>
  <c r="I35" i="24"/>
  <c r="L39" i="101" l="1"/>
  <c r="O59" i="24"/>
  <c r="M16" i="86"/>
  <c r="K16" i="86"/>
  <c r="I16" i="86"/>
  <c r="I32" i="24"/>
  <c r="L24" i="101"/>
  <c r="O7" i="22"/>
  <c r="M56" i="24"/>
  <c r="M54" i="24"/>
  <c r="K56" i="24"/>
  <c r="K54" i="24"/>
  <c r="I56" i="24"/>
  <c r="I54" i="24"/>
  <c r="Q10" i="14"/>
  <c r="M82" i="102"/>
  <c r="O7" i="19"/>
  <c r="O29" i="24" l="1"/>
  <c r="L73" i="102"/>
  <c r="O25" i="12"/>
  <c r="O15" i="7" l="1"/>
  <c r="O16" i="7"/>
  <c r="M79" i="102" l="1"/>
  <c r="O7" i="27"/>
  <c r="M77" i="102"/>
  <c r="O10" i="7"/>
  <c r="O22" i="7" s="1"/>
  <c r="K11" i="86" l="1"/>
  <c r="M11" i="86"/>
  <c r="K12" i="86"/>
  <c r="M12" i="86"/>
  <c r="K13" i="86"/>
  <c r="M13" i="86"/>
  <c r="I11" i="86"/>
  <c r="I12" i="86"/>
  <c r="I13" i="86"/>
  <c r="L62" i="102"/>
  <c r="M8" i="86"/>
  <c r="M10" i="86"/>
  <c r="M7" i="86"/>
  <c r="K8" i="86"/>
  <c r="K10" i="86"/>
  <c r="K7" i="86"/>
  <c r="I8" i="86"/>
  <c r="I10" i="86"/>
  <c r="I7" i="86"/>
  <c r="Q9" i="14"/>
  <c r="Q30" i="14" s="1"/>
  <c r="I44" i="86" l="1"/>
  <c r="M76" i="102"/>
  <c r="M53" i="24" l="1"/>
  <c r="K53" i="24"/>
  <c r="M8" i="77"/>
  <c r="K8" i="77"/>
  <c r="M7" i="78"/>
  <c r="K7" i="78"/>
  <c r="M77" i="24"/>
  <c r="K77" i="24"/>
  <c r="M7" i="22"/>
  <c r="K7" i="22"/>
  <c r="O7" i="77"/>
  <c r="M9" i="21"/>
  <c r="K9" i="21"/>
  <c r="M25" i="19"/>
  <c r="K25" i="19"/>
  <c r="M69" i="102"/>
  <c r="M74" i="102"/>
  <c r="M59" i="24"/>
  <c r="K59" i="24"/>
  <c r="M71" i="102" l="1"/>
  <c r="O7" i="21"/>
  <c r="M17" i="19" l="1"/>
  <c r="K17" i="19"/>
  <c r="M81" i="102"/>
  <c r="M44" i="102" l="1"/>
  <c r="M10" i="14"/>
  <c r="O10" i="14"/>
  <c r="M9" i="30"/>
  <c r="K9" i="30"/>
  <c r="M75" i="24"/>
  <c r="K75" i="24"/>
  <c r="I75" i="24"/>
  <c r="M30" i="101"/>
  <c r="M31" i="101"/>
  <c r="O70" i="24" l="1"/>
  <c r="O100" i="24" s="1"/>
  <c r="M72" i="24"/>
  <c r="M66" i="102"/>
  <c r="M25" i="12"/>
  <c r="K25" i="12"/>
  <c r="G36" i="12"/>
  <c r="M73" i="102"/>
  <c r="M70" i="102"/>
  <c r="K73" i="24"/>
  <c r="M73" i="24"/>
  <c r="K72" i="24"/>
  <c r="K49" i="24"/>
  <c r="M49" i="24"/>
  <c r="M48" i="24"/>
  <c r="K48" i="24"/>
  <c r="K50" i="24"/>
  <c r="M50" i="24"/>
  <c r="M23" i="24"/>
  <c r="K23" i="24"/>
  <c r="I49" i="24"/>
  <c r="I50" i="24"/>
  <c r="I24" i="24"/>
  <c r="I48" i="24"/>
  <c r="I23" i="24"/>
  <c r="M8" i="30"/>
  <c r="K8" i="30"/>
  <c r="M19" i="24"/>
  <c r="K19" i="24"/>
  <c r="M15" i="24"/>
  <c r="K15" i="24"/>
  <c r="M63" i="102"/>
  <c r="M9" i="19"/>
  <c r="K9" i="19"/>
  <c r="M11" i="18"/>
  <c r="K11" i="18"/>
  <c r="K11" i="12"/>
  <c r="M11" i="12"/>
  <c r="M72" i="102"/>
  <c r="M64" i="102"/>
  <c r="K47" i="24"/>
  <c r="M47" i="24"/>
  <c r="M11" i="24"/>
  <c r="K11" i="24"/>
  <c r="K17" i="7"/>
  <c r="M17" i="7"/>
  <c r="K16" i="7"/>
  <c r="M16" i="7"/>
  <c r="M10" i="24"/>
  <c r="K10" i="24"/>
  <c r="M10" i="12"/>
  <c r="K10" i="12"/>
  <c r="M31" i="24"/>
  <c r="K31" i="24"/>
  <c r="M10" i="18"/>
  <c r="K10" i="18"/>
  <c r="M65" i="102"/>
  <c r="M70" i="24"/>
  <c r="K70" i="24"/>
  <c r="M40" i="24"/>
  <c r="M39" i="24"/>
  <c r="K40" i="24"/>
  <c r="K39" i="24"/>
  <c r="K15" i="7"/>
  <c r="M15" i="7"/>
  <c r="K14" i="7"/>
  <c r="M14" i="7"/>
  <c r="M37" i="24" l="1"/>
  <c r="M36" i="24"/>
  <c r="K37" i="24"/>
  <c r="K36" i="24"/>
  <c r="I37" i="24"/>
  <c r="I36" i="24"/>
  <c r="I100" i="24" s="1"/>
  <c r="M9" i="12"/>
  <c r="K9" i="12"/>
  <c r="K13" i="7"/>
  <c r="M13" i="7"/>
  <c r="M12" i="7"/>
  <c r="K12" i="7"/>
  <c r="M29" i="24"/>
  <c r="K29" i="24"/>
  <c r="K34" i="24"/>
  <c r="M34" i="24"/>
  <c r="M33" i="24"/>
  <c r="K33" i="24"/>
  <c r="H102" i="24" l="1"/>
  <c r="M26" i="24"/>
  <c r="K26" i="24"/>
  <c r="K30" i="24"/>
  <c r="M30" i="24"/>
  <c r="M28" i="24"/>
  <c r="K28" i="24"/>
  <c r="M11" i="7"/>
  <c r="K11" i="7"/>
  <c r="M22" i="24" l="1"/>
  <c r="K22" i="24"/>
  <c r="K27" i="24"/>
  <c r="M27" i="24"/>
  <c r="K25" i="24"/>
  <c r="M25" i="24"/>
  <c r="M8" i="18"/>
  <c r="K8" i="18"/>
  <c r="M8" i="12"/>
  <c r="K8" i="12"/>
  <c r="K20" i="24"/>
  <c r="K17" i="24"/>
  <c r="M17" i="24"/>
  <c r="M10" i="7"/>
  <c r="K10" i="7"/>
  <c r="M53" i="102" l="1"/>
  <c r="O9" i="14"/>
  <c r="M9" i="14"/>
  <c r="M8" i="21"/>
  <c r="K8" i="21"/>
  <c r="M16" i="24"/>
  <c r="M13" i="24"/>
  <c r="K16" i="24"/>
  <c r="K13" i="24"/>
  <c r="M7" i="12"/>
  <c r="K7" i="12"/>
  <c r="M62" i="102"/>
  <c r="J9" i="14" l="1"/>
  <c r="K9" i="14" l="1"/>
  <c r="M7" i="21"/>
  <c r="K7" i="21"/>
  <c r="M7" i="19"/>
  <c r="K7" i="19"/>
  <c r="M7" i="18"/>
  <c r="K7" i="18"/>
  <c r="M12" i="24" l="1"/>
  <c r="M9" i="24"/>
  <c r="K12" i="24"/>
  <c r="K9" i="24"/>
  <c r="M7" i="27"/>
  <c r="K7" i="27"/>
  <c r="G24" i="30"/>
  <c r="M7" i="30"/>
  <c r="K7" i="30"/>
  <c r="M67" i="102"/>
  <c r="M7" i="24" l="1"/>
  <c r="K7" i="24"/>
  <c r="M7" i="7"/>
  <c r="K7" i="7"/>
  <c r="M51" i="102"/>
  <c r="M54" i="102"/>
  <c r="M7" i="4" l="1"/>
  <c r="M7" i="77" l="1"/>
  <c r="K7" i="77"/>
  <c r="M7" i="6" l="1"/>
  <c r="K7" i="6"/>
  <c r="K7" i="4"/>
  <c r="F21" i="102"/>
  <c r="G21" i="102" l="1"/>
  <c r="M21" i="102"/>
  <c r="H25" i="5"/>
  <c r="J21" i="102" l="1"/>
  <c r="F27" i="5"/>
  <c r="B4" i="93"/>
  <c r="J34" i="101"/>
  <c r="M34" i="101" s="1"/>
  <c r="J32" i="101"/>
  <c r="M32" i="101" s="1"/>
  <c r="J33" i="101"/>
  <c r="J30" i="101"/>
  <c r="J23" i="101"/>
  <c r="J26" i="101" s="1"/>
  <c r="J6" i="100"/>
  <c r="L8" i="100"/>
  <c r="J8" i="100"/>
  <c r="L91" i="102"/>
  <c r="J91" i="102"/>
  <c r="M91" i="102"/>
  <c r="L86" i="102"/>
  <c r="J86" i="102"/>
  <c r="M78" i="102"/>
  <c r="L57" i="102"/>
  <c r="L41" i="101"/>
  <c r="J41" i="101"/>
  <c r="M39" i="101"/>
  <c r="I34" i="101"/>
  <c r="K33" i="101"/>
  <c r="I33" i="101"/>
  <c r="M24" i="101"/>
  <c r="M23" i="101"/>
  <c r="L10" i="101"/>
  <c r="F10" i="101"/>
  <c r="G7" i="101"/>
  <c r="J7" i="101" s="1"/>
  <c r="M7" i="101" s="1"/>
  <c r="G6" i="101"/>
  <c r="J6" i="101" s="1"/>
  <c r="L32" i="100"/>
  <c r="J32" i="100"/>
  <c r="M30" i="100"/>
  <c r="I30" i="100"/>
  <c r="J27" i="100"/>
  <c r="I25" i="100"/>
  <c r="I24" i="100"/>
  <c r="M23" i="100"/>
  <c r="I23" i="100"/>
  <c r="M22" i="100"/>
  <c r="I22" i="100"/>
  <c r="M21" i="100"/>
  <c r="I21" i="100"/>
  <c r="G8" i="100"/>
  <c r="F8" i="100"/>
  <c r="G17" i="78"/>
  <c r="H26" i="19"/>
  <c r="H10" i="5" s="1"/>
  <c r="G21" i="74"/>
  <c r="H12" i="74"/>
  <c r="G35" i="7"/>
  <c r="G19" i="6"/>
  <c r="G17" i="4"/>
  <c r="F36" i="102" l="1"/>
  <c r="M41" i="101"/>
  <c r="L26" i="101"/>
  <c r="M33" i="101"/>
  <c r="J36" i="101"/>
  <c r="L36" i="101"/>
  <c r="L27" i="100"/>
  <c r="M57" i="102"/>
  <c r="M6" i="101"/>
  <c r="H26" i="5" s="1"/>
  <c r="J8" i="101"/>
  <c r="M8" i="101" s="1"/>
  <c r="M32" i="100"/>
  <c r="M6" i="100"/>
  <c r="I25" i="5" s="1"/>
  <c r="C27" i="5" l="1"/>
  <c r="B27" i="5" s="1"/>
  <c r="M10" i="101"/>
  <c r="M44" i="101" s="1"/>
  <c r="M36" i="101"/>
  <c r="M26" i="101"/>
  <c r="C26" i="5" s="1"/>
  <c r="J10" i="101"/>
  <c r="G10" i="101"/>
  <c r="M8" i="100"/>
  <c r="M27" i="100"/>
  <c r="M35" i="100" l="1"/>
  <c r="B27" i="93" s="1"/>
  <c r="B48" i="93"/>
  <c r="O9" i="22"/>
  <c r="N9" i="22"/>
  <c r="L9" i="22"/>
  <c r="I9" i="22"/>
  <c r="H9" i="22"/>
  <c r="G16" i="22"/>
  <c r="H11" i="22" l="1"/>
  <c r="B34" i="5" l="1"/>
  <c r="B3" i="93"/>
  <c r="B5" i="93" s="1"/>
  <c r="B35" i="5"/>
  <c r="H8" i="5"/>
  <c r="E1" i="44" l="1"/>
  <c r="E1" i="73"/>
  <c r="H13" i="73" s="1"/>
  <c r="H24" i="7" l="1"/>
  <c r="G22" i="21" l="1"/>
  <c r="O12" i="74" l="1"/>
  <c r="N12" i="74"/>
  <c r="L12" i="74"/>
  <c r="I12" i="74"/>
  <c r="H14" i="74" s="1"/>
  <c r="F8" i="5" l="1"/>
  <c r="I8" i="5"/>
  <c r="I26" i="12"/>
  <c r="L26" i="12"/>
  <c r="N26" i="12"/>
  <c r="O26" i="12"/>
  <c r="H28" i="12" l="1"/>
  <c r="E1" i="77"/>
  <c r="E1" i="12"/>
  <c r="E1" i="19"/>
  <c r="E1" i="27"/>
  <c r="E1" i="75"/>
  <c r="E1" i="22"/>
  <c r="H13" i="22" s="1"/>
  <c r="E1" i="21"/>
  <c r="E1" i="74"/>
  <c r="E1" i="76"/>
  <c r="E1" i="78"/>
  <c r="E1" i="18"/>
  <c r="N16" i="30" l="1"/>
  <c r="B14" i="93" s="1"/>
  <c r="J18" i="5" l="1"/>
  <c r="J16" i="5"/>
  <c r="J14" i="5"/>
  <c r="J10" i="5"/>
  <c r="L16" i="30" l="1"/>
  <c r="I16" i="30"/>
  <c r="H18" i="30" l="1"/>
  <c r="J12" i="5"/>
  <c r="J20" i="5"/>
  <c r="H32" i="14" l="1"/>
  <c r="O10" i="44" l="1"/>
  <c r="N10" i="44"/>
  <c r="L10" i="44"/>
  <c r="O16" i="30"/>
  <c r="O10" i="27" l="1"/>
  <c r="N10" i="27"/>
  <c r="L10" i="27"/>
  <c r="I10" i="27"/>
  <c r="H10" i="27"/>
  <c r="O11" i="77"/>
  <c r="N11" i="77"/>
  <c r="L11" i="77"/>
  <c r="O9" i="78"/>
  <c r="N9" i="78"/>
  <c r="L9" i="78"/>
  <c r="I9" i="78"/>
  <c r="H9" i="78"/>
  <c r="O9" i="73"/>
  <c r="N9" i="73"/>
  <c r="L9" i="73"/>
  <c r="I9" i="73"/>
  <c r="H9" i="73"/>
  <c r="O10" i="75"/>
  <c r="N10" i="75"/>
  <c r="L10" i="75"/>
  <c r="I10" i="75"/>
  <c r="H10" i="75"/>
  <c r="H13" i="78" l="1"/>
  <c r="H11" i="73"/>
  <c r="H14" i="27"/>
  <c r="H11" i="78"/>
  <c r="H14" i="75"/>
  <c r="I18" i="5" l="1"/>
  <c r="H30" i="12"/>
  <c r="I11" i="77" l="1"/>
  <c r="H15" i="77" s="1"/>
  <c r="I32" i="18" l="1"/>
  <c r="I10" i="44"/>
  <c r="H14" i="44" s="1"/>
  <c r="H11" i="77" l="1"/>
  <c r="H10" i="44"/>
  <c r="B26" i="5" l="1"/>
  <c r="N26" i="19" l="1"/>
  <c r="L26" i="19"/>
  <c r="O9" i="76"/>
  <c r="N9" i="76"/>
  <c r="L9" i="76"/>
  <c r="I9" i="76"/>
  <c r="H9" i="76"/>
  <c r="N32" i="18"/>
  <c r="L32" i="18"/>
  <c r="I16" i="5"/>
  <c r="I14" i="5"/>
  <c r="H32" i="18"/>
  <c r="H13" i="77"/>
  <c r="O15" i="21"/>
  <c r="H15" i="21"/>
  <c r="I15" i="21"/>
  <c r="L15" i="21"/>
  <c r="N15" i="21"/>
  <c r="I26" i="19"/>
  <c r="O26" i="19"/>
  <c r="H30" i="19" s="1"/>
  <c r="G14" i="5"/>
  <c r="F10" i="5"/>
  <c r="F14" i="5"/>
  <c r="H11" i="6"/>
  <c r="E10" i="5" s="1"/>
  <c r="I11" i="6"/>
  <c r="L11" i="6"/>
  <c r="E14" i="5" s="1"/>
  <c r="N11" i="6"/>
  <c r="B18" i="93" s="1"/>
  <c r="H9" i="4"/>
  <c r="H11" i="4" s="1"/>
  <c r="I9" i="4"/>
  <c r="L9" i="4"/>
  <c r="D14" i="5" s="1"/>
  <c r="N9" i="4"/>
  <c r="B24" i="93" s="1"/>
  <c r="O9" i="4"/>
  <c r="C10" i="5"/>
  <c r="C14" i="5"/>
  <c r="B5" i="5"/>
  <c r="O11" i="6"/>
  <c r="H19" i="21" l="1"/>
  <c r="E18" i="5"/>
  <c r="H28" i="19"/>
  <c r="E12" i="5"/>
  <c r="E20" i="5" s="1"/>
  <c r="H13" i="76"/>
  <c r="H16" i="5"/>
  <c r="D18" i="5"/>
  <c r="G16" i="5"/>
  <c r="F12" i="5"/>
  <c r="D10" i="5"/>
  <c r="G12" i="5"/>
  <c r="D12" i="5"/>
  <c r="F16" i="5"/>
  <c r="F18" i="5"/>
  <c r="C12" i="5"/>
  <c r="C20" i="5" s="1"/>
  <c r="H12" i="27"/>
  <c r="E8" i="5"/>
  <c r="H12" i="44"/>
  <c r="H11" i="76"/>
  <c r="G18" i="5"/>
  <c r="E16" i="5"/>
  <c r="H13" i="6"/>
  <c r="H12" i="75"/>
  <c r="C16" i="5"/>
  <c r="H17" i="21"/>
  <c r="H34" i="18"/>
  <c r="D16" i="5"/>
  <c r="O32" i="18"/>
  <c r="H36" i="18" s="1"/>
  <c r="E1" i="14"/>
  <c r="H34" i="14" s="1"/>
  <c r="G10" i="5"/>
  <c r="G8" i="5"/>
  <c r="D8" i="5"/>
  <c r="M4" i="14" l="1"/>
  <c r="N4" i="14" s="1"/>
  <c r="O4" i="14" s="1"/>
  <c r="M2" i="14"/>
  <c r="N2" i="14" s="1"/>
  <c r="O2" i="14" s="1"/>
  <c r="M3" i="14"/>
  <c r="N3" i="14" s="1"/>
  <c r="O3" i="14" s="1"/>
  <c r="B16" i="5"/>
  <c r="D20" i="5"/>
  <c r="F22" i="5"/>
  <c r="F29" i="5" s="1"/>
  <c r="E22" i="5"/>
  <c r="E29" i="5" s="1"/>
  <c r="D22" i="5"/>
  <c r="F20" i="5"/>
  <c r="G20" i="5"/>
  <c r="B25" i="5"/>
  <c r="E1" i="6"/>
  <c r="H15" i="6" s="1"/>
  <c r="C18" i="5"/>
  <c r="C22" i="5" s="1"/>
  <c r="H18" i="5"/>
  <c r="E1" i="24"/>
  <c r="H104" i="24" s="1"/>
  <c r="E1" i="30"/>
  <c r="H20" i="30" s="1"/>
  <c r="E1" i="7"/>
  <c r="H26" i="7" s="1"/>
  <c r="E1" i="4"/>
  <c r="H13" i="4" s="1"/>
  <c r="B18" i="5" l="1"/>
  <c r="C29" i="5"/>
  <c r="D29" i="5"/>
  <c r="G22" i="5" l="1"/>
  <c r="G29" i="5" s="1"/>
  <c r="I12" i="5" l="1"/>
  <c r="I22" i="5" s="1"/>
  <c r="I29" i="5" l="1"/>
  <c r="H14" i="5" l="1"/>
  <c r="B14" i="5" s="1"/>
  <c r="H16" i="74"/>
  <c r="E1" i="86" s="1"/>
  <c r="I10" i="5" l="1"/>
  <c r="B10" i="5" s="1"/>
  <c r="H46" i="86" l="1"/>
  <c r="H48" i="86"/>
  <c r="E1" i="103" s="1"/>
  <c r="H53" i="103" s="1"/>
  <c r="I20" i="5"/>
  <c r="H12" i="5"/>
  <c r="H20" i="5" s="1"/>
  <c r="B20" i="5" l="1"/>
  <c r="B12" i="5"/>
  <c r="H22" i="5"/>
  <c r="H29" i="5" s="1"/>
  <c r="B22" i="5"/>
  <c r="B29" i="5" s="1"/>
  <c r="J8" i="5"/>
  <c r="J22" i="5" s="1"/>
  <c r="F40" i="104" l="1"/>
  <c r="T98" i="104" l="1"/>
  <c r="B50" i="93" s="1"/>
  <c r="B51" i="93" s="1"/>
</calcChain>
</file>

<file path=xl/sharedStrings.xml><?xml version="1.0" encoding="utf-8"?>
<sst xmlns="http://schemas.openxmlformats.org/spreadsheetml/2006/main" count="3785" uniqueCount="891">
  <si>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</si>
  <si>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</si>
  <si>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</si>
  <si>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</si>
  <si>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</si>
  <si>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</si>
  <si>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</si>
  <si>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</si>
  <si>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</si>
  <si>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</si>
  <si>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</si>
  <si>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</si>
  <si>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</si>
  <si>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</si>
  <si>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</si>
  <si>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</si>
  <si>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</si>
  <si>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</si>
  <si>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</si>
  <si>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</si>
  <si>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</si>
  <si>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</si>
  <si>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</si>
  <si>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</si>
  <si>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</si>
  <si>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</si>
  <si>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</si>
  <si>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</si>
  <si>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</si>
  <si>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</si>
  <si>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</si>
  <si>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</si>
  <si>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</si>
  <si>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</si>
  <si>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</si>
  <si>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</si>
  <si>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</si>
  <si>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</si>
  <si>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</si>
  <si>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</si>
  <si>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</si>
  <si>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</si>
  <si>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</si>
  <si>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</si>
  <si>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</si>
  <si>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</si>
  <si>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</si>
  <si>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</si>
  <si>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</si>
  <si>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</si>
  <si>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</si>
  <si>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</si>
  <si>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</si>
  <si>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</si>
  <si>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</si>
  <si>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</si>
  <si>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</si>
  <si>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</si>
  <si>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</si>
  <si>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</si>
  <si>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</si>
  <si>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</si>
  <si>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</si>
  <si>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</si>
  <si>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</si>
  <si>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</si>
  <si>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</si>
  <si>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</si>
  <si>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</si>
  <si>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</si>
  <si>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</si>
  <si>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</si>
  <si>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</si>
  <si>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</si>
  <si>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</si>
  <si>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</si>
  <si>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</si>
  <si>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</si>
  <si>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</si>
  <si>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</si>
  <si>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</si>
  <si>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</si>
  <si>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</si>
  <si>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</si>
  <si>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</si>
  <si>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</si>
  <si>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</si>
  <si>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</si>
  <si>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</si>
  <si>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</si>
  <si>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</si>
  <si>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</si>
  <si>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</si>
  <si>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</si>
  <si>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</si>
  <si>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</si>
  <si>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</si>
  <si>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</si>
  <si>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</si>
  <si>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</si>
  <si>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</si>
  <si>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</si>
  <si>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</si>
  <si>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</si>
  <si>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</si>
  <si>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</si>
  <si>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</si>
  <si>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</si>
  <si>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</si>
  <si>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</si>
  <si>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</si>
  <si>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</si>
  <si>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</si>
  <si>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</si>
  <si>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</si>
  <si>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</si>
  <si>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</si>
  <si>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</si>
  <si>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</si>
  <si>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</si>
  <si>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</si>
  <si>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</si>
  <si>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</si>
  <si>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</si>
  <si>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</si>
  <si>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</si>
  <si>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</si>
  <si>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</si>
  <si>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</si>
  <si>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</si>
  <si>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</si>
  <si>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</si>
  <si>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</si>
  <si>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</si>
  <si>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</si>
  <si>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</si>
  <si>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</si>
  <si>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</si>
  <si>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</si>
  <si>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</si>
  <si>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</si>
  <si>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</si>
  <si>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</si>
  <si>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</si>
  <si>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</si>
  <si>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San Antonio Housing Trust FC</t>
  </si>
  <si>
    <t>2015 CF</t>
  </si>
  <si>
    <t>N/A</t>
  </si>
  <si>
    <t>2016 CF</t>
  </si>
  <si>
    <t>Plano</t>
  </si>
  <si>
    <t>Wichita Falls</t>
  </si>
  <si>
    <t>Qualified Mortgage Bonds/MCCs</t>
  </si>
  <si>
    <t>Priority 5</t>
  </si>
  <si>
    <t>TSAHC</t>
  </si>
  <si>
    <t>2017 CF</t>
  </si>
  <si>
    <t>Statewide</t>
  </si>
  <si>
    <t>Las Varas PFC</t>
  </si>
  <si>
    <t>Amount Available for Traditional Carryforward</t>
  </si>
  <si>
    <t>Austin Affordable PFC, Inc.</t>
  </si>
  <si>
    <t>Denton County HFC</t>
  </si>
  <si>
    <t>St. John's Square Apartments</t>
  </si>
  <si>
    <t>Brazos Higher Education Authority, Inc.</t>
  </si>
  <si>
    <t xml:space="preserve">210-DAY </t>
  </si>
  <si>
    <t xml:space="preserve">150-DAY </t>
  </si>
  <si>
    <t>180-DAY</t>
  </si>
  <si>
    <t>Texas Home Collaborative</t>
  </si>
  <si>
    <t>El Paso HFC</t>
  </si>
  <si>
    <t>2019 CF</t>
  </si>
  <si>
    <t>March 1 Local Collapse</t>
  </si>
  <si>
    <t>Odessa</t>
  </si>
  <si>
    <t>2020 TRADITIONAL CARRYFORWARD</t>
  </si>
  <si>
    <t>2020 NON TRADITIONAL CARRYFORWARD</t>
  </si>
  <si>
    <t>Victory Street PFC</t>
  </si>
  <si>
    <t>2018 CF</t>
  </si>
  <si>
    <t>Galveston</t>
  </si>
  <si>
    <t>Hidalgo Housing Development Corporation</t>
  </si>
  <si>
    <t>Progreso</t>
  </si>
  <si>
    <t>Bexar Management and Development Corporation</t>
  </si>
  <si>
    <t>Tax-Exempt Student Loan Program Revenue Bonds</t>
  </si>
  <si>
    <t>Meadow Apartments</t>
  </si>
  <si>
    <t>Pflugerville</t>
  </si>
  <si>
    <t>20CF-011</t>
  </si>
  <si>
    <t>The Rebekah</t>
  </si>
  <si>
    <t>Arlington HFC</t>
  </si>
  <si>
    <t>Arlington</t>
  </si>
  <si>
    <t>Gardens of Haltom City Apts</t>
  </si>
  <si>
    <t>Haltom City</t>
  </si>
  <si>
    <t>Denton</t>
  </si>
  <si>
    <t>Collin County HFC</t>
  </si>
  <si>
    <t>Anna</t>
  </si>
  <si>
    <t>The Jefferson County HFC</t>
  </si>
  <si>
    <t>Port Arthur</t>
  </si>
  <si>
    <t>Crystal Bend Apts</t>
  </si>
  <si>
    <t>Northwind Apartments</t>
  </si>
  <si>
    <t>Legacy Square Apts</t>
  </si>
  <si>
    <t>Crosswinds Apartments</t>
  </si>
  <si>
    <t>Panda High Plains Hemp Gin, LLC Project, Series 2021</t>
  </si>
  <si>
    <t>CARRYFORWARD 2020</t>
  </si>
  <si>
    <t>Rowlett</t>
  </si>
  <si>
    <t>2021 TRADITIONAL CARRYFORWARD</t>
  </si>
  <si>
    <t>McKinney HFC</t>
  </si>
  <si>
    <t>McKinney</t>
  </si>
  <si>
    <t>Residental Rental</t>
  </si>
  <si>
    <t>WITHDRAWN</t>
  </si>
  <si>
    <t>CLOSED</t>
  </si>
  <si>
    <t>2020 CF</t>
  </si>
  <si>
    <t>PRIORITY</t>
  </si>
  <si>
    <t>MF</t>
  </si>
  <si>
    <t>APP #</t>
  </si>
  <si>
    <t>21CF-002</t>
  </si>
  <si>
    <t>Pathways at Rosewood Courts East</t>
  </si>
  <si>
    <t>21CF-004</t>
  </si>
  <si>
    <t>Easton Park Apartments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</si>
  <si>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</si>
  <si>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</si>
  <si>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</si>
  <si>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</si>
  <si>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</si>
  <si>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</si>
  <si>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</si>
  <si>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</si>
  <si>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</si>
  <si>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</si>
  <si>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</si>
  <si>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</si>
  <si>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</si>
  <si>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</si>
  <si>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21CF-007</t>
  </si>
  <si>
    <t>Manor Apartments</t>
  </si>
  <si>
    <t>2021 NON TRADITIONAL CARRYFORWARD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</si>
  <si>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</si>
  <si>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</si>
  <si>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</si>
  <si>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</si>
  <si>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</si>
  <si>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</si>
  <si>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</si>
  <si>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</si>
  <si>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</si>
  <si>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</si>
  <si>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</si>
  <si>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</si>
  <si>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</si>
  <si>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</si>
  <si>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</si>
  <si>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</si>
  <si>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</si>
  <si>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</si>
  <si>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</si>
  <si>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</si>
  <si>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THECB</t>
  </si>
  <si>
    <t>Fredericksburg</t>
  </si>
  <si>
    <t>1A</t>
  </si>
  <si>
    <t>1B</t>
  </si>
  <si>
    <t>The Lubbock HFC</t>
  </si>
  <si>
    <t>Lubbock</t>
  </si>
  <si>
    <t>Cantibury Pointe</t>
  </si>
  <si>
    <t>Panhandle Regional HFC</t>
  </si>
  <si>
    <t>Amarillo</t>
  </si>
  <si>
    <t>Astoria Park Apts</t>
  </si>
  <si>
    <t>North Central Texas HFC</t>
  </si>
  <si>
    <t>DeSoto</t>
  </si>
  <si>
    <t xml:space="preserve">Arlington </t>
  </si>
  <si>
    <t>6900 Matlock Road</t>
  </si>
  <si>
    <t>Wylie Senior Apts</t>
  </si>
  <si>
    <t>Wylie</t>
  </si>
  <si>
    <t>Mill Stream Apts</t>
  </si>
  <si>
    <t>Garland HFC</t>
  </si>
  <si>
    <t>Garland</t>
  </si>
  <si>
    <t>Lancaster</t>
  </si>
  <si>
    <t>Mesquite</t>
  </si>
  <si>
    <t>Rowlett HFC</t>
  </si>
  <si>
    <t>1C</t>
  </si>
  <si>
    <t>Tyler</t>
  </si>
  <si>
    <t>Longview</t>
  </si>
  <si>
    <t>Pasadena</t>
  </si>
  <si>
    <t>Houston HFC</t>
  </si>
  <si>
    <t>Coppertree Village</t>
  </si>
  <si>
    <t>The Portofino</t>
  </si>
  <si>
    <t>EMLI at Mesa Gardens</t>
  </si>
  <si>
    <t>Live Make Apts</t>
  </si>
  <si>
    <t>Farm Street Village</t>
  </si>
  <si>
    <t>Bastrop</t>
  </si>
  <si>
    <t>Blanco Basin</t>
  </si>
  <si>
    <t>Hog Eye Apts</t>
  </si>
  <si>
    <t>Decker Lake Apts</t>
  </si>
  <si>
    <t>Libertad Austin at Gardner</t>
  </si>
  <si>
    <t>Strategic HFC of Travis County</t>
  </si>
  <si>
    <t>Daffan Flats</t>
  </si>
  <si>
    <t>Woodway Square</t>
  </si>
  <si>
    <t>Brazos County HFC</t>
  </si>
  <si>
    <t>Bryan</t>
  </si>
  <si>
    <t>Bexar County HFC</t>
  </si>
  <si>
    <t>The Cameron County HFC</t>
  </si>
  <si>
    <t>Brownsville</t>
  </si>
  <si>
    <t>Columbia Apts</t>
  </si>
  <si>
    <t>San Antonio Housing Trust PFC</t>
  </si>
  <si>
    <t>Brazoria County IDC</t>
  </si>
  <si>
    <t>Freeport</t>
  </si>
  <si>
    <t>Housing Synergy PFC</t>
  </si>
  <si>
    <t>Abilene</t>
  </si>
  <si>
    <t>THF PFC</t>
  </si>
  <si>
    <t>Waco PFC II</t>
  </si>
  <si>
    <t>Rosemont at University Park Apts</t>
  </si>
  <si>
    <t>Anna PFC</t>
  </si>
  <si>
    <t>Shamrock EDC</t>
  </si>
  <si>
    <t>Ecolomondo Project</t>
  </si>
  <si>
    <t>Shamrock</t>
  </si>
  <si>
    <t>Victoria</t>
  </si>
  <si>
    <t>Gulf Coast IDA</t>
  </si>
  <si>
    <t>Schertz</t>
  </si>
  <si>
    <t>Park at Humble Apts</t>
  </si>
  <si>
    <t>Humble</t>
  </si>
  <si>
    <t>Temple</t>
  </si>
  <si>
    <t>SMHA Finance PFC</t>
  </si>
  <si>
    <t xml:space="preserve">Port Arthur </t>
  </si>
  <si>
    <t>Plano PFC</t>
  </si>
  <si>
    <t>K Avenue Lofts</t>
  </si>
  <si>
    <t>Waco</t>
  </si>
  <si>
    <t>Angelina &amp; Neches RA IDC</t>
  </si>
  <si>
    <t>Lufkin</t>
  </si>
  <si>
    <t>Trinity River PFC</t>
  </si>
  <si>
    <t>Hughes House II</t>
  </si>
  <si>
    <t>Ft. Worth</t>
  </si>
  <si>
    <t>Lakeside Place PFC</t>
  </si>
  <si>
    <t>Excluding Amts Reserved</t>
  </si>
  <si>
    <t>2021 CF</t>
  </si>
  <si>
    <t>CARRYFORWARD 2021</t>
  </si>
  <si>
    <t>2022 TRADITIONAL CARRYFORWARD</t>
  </si>
  <si>
    <t>22CF-001</t>
  </si>
  <si>
    <t>22CF-002</t>
  </si>
  <si>
    <t>22CF-003</t>
  </si>
  <si>
    <t>22CF-004</t>
  </si>
  <si>
    <t>22CF-005</t>
  </si>
  <si>
    <t>Santiago Estates</t>
  </si>
  <si>
    <t>Galveston PFC</t>
  </si>
  <si>
    <t>Odessa HFC</t>
  </si>
  <si>
    <t>The Reserves</t>
  </si>
  <si>
    <t>Seagoville</t>
  </si>
  <si>
    <t>The Rhett</t>
  </si>
  <si>
    <t>West Houston Senior Living</t>
  </si>
  <si>
    <t>Bluff View Apts</t>
  </si>
  <si>
    <t>Boerne</t>
  </si>
  <si>
    <t>22CF-006</t>
  </si>
  <si>
    <t>2/1D</t>
  </si>
  <si>
    <t>3/1D</t>
  </si>
  <si>
    <t>22CF-007</t>
  </si>
  <si>
    <t>Airport Commerce Multifamily Apts</t>
  </si>
  <si>
    <t>Hidalgo HDC</t>
  </si>
  <si>
    <t>Progreso Heights Apts</t>
  </si>
  <si>
    <t>22CF-008</t>
  </si>
  <si>
    <t>Bluestein Blvd Apts</t>
  </si>
  <si>
    <t>Qualified Mortgage Bonds</t>
  </si>
  <si>
    <t>The Life at Forest View</t>
  </si>
  <si>
    <t>Clute</t>
  </si>
  <si>
    <t>Harris County</t>
  </si>
  <si>
    <t>Single Family Mortgage Revenue Bonds (Series 2022)</t>
  </si>
  <si>
    <t>Cameron County</t>
  </si>
  <si>
    <t>HFCs - 56.66%</t>
  </si>
  <si>
    <t>Set-Aside Amount</t>
  </si>
  <si>
    <t>Set-Aside until 8/7</t>
  </si>
  <si>
    <t>Fort Bend County</t>
  </si>
  <si>
    <t>SF MRBs</t>
  </si>
  <si>
    <t>North Central Texas</t>
  </si>
  <si>
    <t>QMBs/MCCs</t>
  </si>
  <si>
    <t>MCCs</t>
  </si>
  <si>
    <t>Remaining post-8/7</t>
  </si>
  <si>
    <t>Remaining pre-8/7</t>
  </si>
  <si>
    <t>TDHCA (assigned by McKinney HFC)</t>
  </si>
  <si>
    <t>TDHCA (assigned by The Cameron County HFC)</t>
  </si>
  <si>
    <t>TDHCA (assigned by Rowlett HFC)</t>
  </si>
  <si>
    <t>TDHCA (assigned by Fort Bend County HFC)</t>
  </si>
  <si>
    <t>Salazar Apts</t>
  </si>
  <si>
    <t>TDHCA (assigned by Harris County HFC)</t>
  </si>
  <si>
    <t>TDHCA (assigned by North Central Texas HFC)</t>
  </si>
  <si>
    <t>TDHCA (assigned by City of Dallas HFC)</t>
  </si>
  <si>
    <t># OF</t>
  </si>
  <si>
    <t>UNITS</t>
  </si>
  <si>
    <t>APP</t>
  </si>
  <si>
    <t>SUBMISSION</t>
  </si>
  <si>
    <t>2022 NON TRADITIONAL CARRYFORWARD</t>
  </si>
  <si>
    <t>Unencumbered Request</t>
  </si>
  <si>
    <t>Amount Available for Unencumbered Requests</t>
  </si>
  <si>
    <t>ASSIGNED</t>
  </si>
  <si>
    <t>2022 UNENCUMBURED STATE CEILING REQUESTS</t>
  </si>
  <si>
    <t>22CF-UNENCUMBERED</t>
  </si>
  <si>
    <t>Priority 3</t>
  </si>
  <si>
    <t>22CF-009</t>
  </si>
  <si>
    <t>22CF-010</t>
  </si>
  <si>
    <t>The Crossing at Clear Creek</t>
  </si>
  <si>
    <t>The Terrace at Highland Hills</t>
  </si>
  <si>
    <r>
      <t xml:space="preserve">STATUS OF </t>
    </r>
    <r>
      <rPr>
        <b/>
        <sz val="9"/>
        <rFont val="Times New Roman"/>
        <family val="1"/>
      </rPr>
      <t>2023</t>
    </r>
    <r>
      <rPr>
        <sz val="9"/>
        <rFont val="Times New Roman"/>
        <family val="1"/>
      </rPr>
      <t xml:space="preserve"> ALLOCATION PROGRAM AS OF - </t>
    </r>
  </si>
  <si>
    <t xml:space="preserve">2023 STATE CEILING </t>
  </si>
  <si>
    <t>CURRENT AVAILABLE ALLOCATION 2023</t>
  </si>
  <si>
    <t>CARRYFORWARD 2022</t>
  </si>
  <si>
    <t>Any amount returned after 11/15/2023 will go towards 2023 Traditional Carryforward Applications</t>
  </si>
  <si>
    <t>2023 TRADITIONAL CARRYFORWARD</t>
  </si>
  <si>
    <t>2023 NON TRADITIONAL CARRYFORWARD</t>
  </si>
  <si>
    <t>Against 2021 &amp; 2022 CF</t>
  </si>
  <si>
    <t>2022 CF</t>
  </si>
  <si>
    <t>College Access Loans 2023/2024</t>
  </si>
  <si>
    <t>Rio Hondo IDC</t>
  </si>
  <si>
    <t>Newell Cobb Enterprises LLC (NCE) - NCE Barge Manufacturing Facility</t>
  </si>
  <si>
    <t>Rio Hondo</t>
  </si>
  <si>
    <t>23-054</t>
  </si>
  <si>
    <t>23-090</t>
  </si>
  <si>
    <t>Palladium McKinney</t>
  </si>
  <si>
    <t>North Grand Villas</t>
  </si>
  <si>
    <t>Park Meadows Apartments</t>
  </si>
  <si>
    <t>Worthington Point Apartments</t>
  </si>
  <si>
    <t>2/Non-1D</t>
  </si>
  <si>
    <t>23-100</t>
  </si>
  <si>
    <t>23-032</t>
  </si>
  <si>
    <t>Lubbock HFC</t>
  </si>
  <si>
    <t>The Ella</t>
  </si>
  <si>
    <t>South Plains Apartments &amp; Homestead Apartments</t>
  </si>
  <si>
    <t>23-094</t>
  </si>
  <si>
    <t>The Reserves at Meadowlark</t>
  </si>
  <si>
    <t>23-119</t>
  </si>
  <si>
    <t>Nortex HFC</t>
  </si>
  <si>
    <t>Archer Courts/The Duke I/The Duke II</t>
  </si>
  <si>
    <t>23-086</t>
  </si>
  <si>
    <t>23-105</t>
  </si>
  <si>
    <t>23-036</t>
  </si>
  <si>
    <t>23-120</t>
  </si>
  <si>
    <t>Dallas (City of) HFC</t>
  </si>
  <si>
    <t>Rosemont at Meadow Lane</t>
  </si>
  <si>
    <t>The Remnant at Greenwood Apts II</t>
  </si>
  <si>
    <t>The Remnant at Greenwood Apts I</t>
  </si>
  <si>
    <t>Rosemont at Ash Creek</t>
  </si>
  <si>
    <t>Eighty Five Ennis Apartments</t>
  </si>
  <si>
    <t>Ennis</t>
  </si>
  <si>
    <t>The Positano</t>
  </si>
  <si>
    <t>The Mesquite HFC</t>
  </si>
  <si>
    <t>Palladium Mesquite</t>
  </si>
  <si>
    <t>Tobias Place Apartments</t>
  </si>
  <si>
    <t>The Quad at Denton</t>
  </si>
  <si>
    <t>23-064</t>
  </si>
  <si>
    <t>23-108</t>
  </si>
  <si>
    <t>23-089</t>
  </si>
  <si>
    <t>23-009</t>
  </si>
  <si>
    <t>23-081</t>
  </si>
  <si>
    <t>23-082</t>
  </si>
  <si>
    <t>23-118</t>
  </si>
  <si>
    <t>23-087</t>
  </si>
  <si>
    <t>23-083</t>
  </si>
  <si>
    <t>Palladium E Lancaster Avenue</t>
  </si>
  <si>
    <t>Palladium Bruton Road</t>
  </si>
  <si>
    <t>Estates at Ferguson</t>
  </si>
  <si>
    <t>Bowman Springs Senior Apartments</t>
  </si>
  <si>
    <t>The Reserve at North End</t>
  </si>
  <si>
    <t>The Mondello</t>
  </si>
  <si>
    <t>Rock Island Riverfront</t>
  </si>
  <si>
    <t>23-006</t>
  </si>
  <si>
    <t>23-056</t>
  </si>
  <si>
    <t>23-066</t>
  </si>
  <si>
    <t>23-067</t>
  </si>
  <si>
    <t>23-030</t>
  </si>
  <si>
    <t>23-019</t>
  </si>
  <si>
    <t>23-123</t>
  </si>
  <si>
    <t>23-024</t>
  </si>
  <si>
    <t>23-091</t>
  </si>
  <si>
    <t>23-125</t>
  </si>
  <si>
    <t>The Southeast Texas HFC</t>
  </si>
  <si>
    <t>Juniper Landing</t>
  </si>
  <si>
    <t>Texas City</t>
  </si>
  <si>
    <t>The Life at Brighton Estates</t>
  </si>
  <si>
    <t>Shoreham Apartments</t>
  </si>
  <si>
    <t>Summerdale Apartments</t>
  </si>
  <si>
    <t>Summit at Bennington</t>
  </si>
  <si>
    <t>Palladium Houston</t>
  </si>
  <si>
    <t>Harris County HFC</t>
  </si>
  <si>
    <t>Wellington Park</t>
  </si>
  <si>
    <t>The Life at Parkview</t>
  </si>
  <si>
    <t>The Life at Beverly Palms</t>
  </si>
  <si>
    <t>Kangle Southern Gardens</t>
  </si>
  <si>
    <t>The Life at Sterling Woods</t>
  </si>
  <si>
    <t>Kimberly Pointe Apartments</t>
  </si>
  <si>
    <t>The Life at Clearwood</t>
  </si>
  <si>
    <t>23-103</t>
  </si>
  <si>
    <t>23-107</t>
  </si>
  <si>
    <t>23-065</t>
  </si>
  <si>
    <t>23-070</t>
  </si>
  <si>
    <t>The Preserve at Mustang Creek</t>
  </si>
  <si>
    <t>Round Rock</t>
  </si>
  <si>
    <t>Kensington Apartments</t>
  </si>
  <si>
    <t>Seabrook Square</t>
  </si>
  <si>
    <t>Airport Gateway Apartments</t>
  </si>
  <si>
    <t>23-069</t>
  </si>
  <si>
    <t>23-061</t>
  </si>
  <si>
    <t>23-029</t>
  </si>
  <si>
    <t>23-045</t>
  </si>
  <si>
    <t>23-063</t>
  </si>
  <si>
    <t>23-068</t>
  </si>
  <si>
    <t>23-059</t>
  </si>
  <si>
    <t>23-014</t>
  </si>
  <si>
    <t>23-046</t>
  </si>
  <si>
    <t>23-058</t>
  </si>
  <si>
    <t>Northside Village</t>
  </si>
  <si>
    <t>Georgetown</t>
  </si>
  <si>
    <t>Blue Ridge Apartments</t>
  </si>
  <si>
    <t>The Katy</t>
  </si>
  <si>
    <t>Elgin</t>
  </si>
  <si>
    <t>Redwood Apartments</t>
  </si>
  <si>
    <t>Pathway at Lost Pines Apartments</t>
  </si>
  <si>
    <t>Crystal Bend Apartments</t>
  </si>
  <si>
    <t>23-101</t>
  </si>
  <si>
    <t>Airport Commerce Multifamily Apartments</t>
  </si>
  <si>
    <t>3/Non-1D</t>
  </si>
  <si>
    <t>Sandy Creek Apartments</t>
  </si>
  <si>
    <t>Pavilion at Culebra Apartments</t>
  </si>
  <si>
    <t>Alamo Area HFC</t>
  </si>
  <si>
    <t>Oaks of Bandera/Trails at River Road Apts</t>
  </si>
  <si>
    <t>Bandera/Boerne</t>
  </si>
  <si>
    <t>Robinhood Terrace Apartments</t>
  </si>
  <si>
    <t>Columbia Apartments</t>
  </si>
  <si>
    <t>23-007</t>
  </si>
  <si>
    <t>23-099</t>
  </si>
  <si>
    <t>23-078</t>
  </si>
  <si>
    <t>Cinco PFC</t>
  </si>
  <si>
    <t>Northill Manor</t>
  </si>
  <si>
    <t>NHH Berry</t>
  </si>
  <si>
    <t>Chisholm Trail</t>
  </si>
  <si>
    <t>Ellison Apartments</t>
  </si>
  <si>
    <t>Midland County PFC</t>
  </si>
  <si>
    <t>Legacy Senior Residences</t>
  </si>
  <si>
    <t>Midland</t>
  </si>
  <si>
    <t>Cattleman Square Lofts Apartments</t>
  </si>
  <si>
    <t>Taylor RAD Family</t>
  </si>
  <si>
    <t>Taylor</t>
  </si>
  <si>
    <t>NHH Gray</t>
  </si>
  <si>
    <t>Winston Square/Roselawn Apartments</t>
  </si>
  <si>
    <t>MaderaGas I 2023 Project</t>
  </si>
  <si>
    <t>Austin Housing PFC</t>
  </si>
  <si>
    <t>Rosemont of Lancaster</t>
  </si>
  <si>
    <t>Newell Cobb Enterprises LLC- NCE Recycling and Solid Waste Disposal Facility</t>
  </si>
  <si>
    <t>Pecan Manor/Spanish Spur Apartments</t>
  </si>
  <si>
    <t>Tigoni Villas Apartments</t>
  </si>
  <si>
    <t>Port Arthur ND IDC</t>
  </si>
  <si>
    <t>ZeoGas/PAMCO 2023 Project</t>
  </si>
  <si>
    <t>Humble Island</t>
  </si>
  <si>
    <t>Canterbury Crossing Apartments</t>
  </si>
  <si>
    <t>Cairn Point at Cameron Apartments</t>
  </si>
  <si>
    <t>Gholson Street Housing</t>
  </si>
  <si>
    <t>Hillside Village Apartments</t>
  </si>
  <si>
    <t>Austin Affordable PFC, Inc</t>
  </si>
  <si>
    <t>Aleon Renewable Metals, LLC Solid Waste Disposal Facilities</t>
  </si>
  <si>
    <t>23-088</t>
  </si>
  <si>
    <t>23-050</t>
  </si>
  <si>
    <t>23-018</t>
  </si>
  <si>
    <t>23-115</t>
  </si>
  <si>
    <t>23-041</t>
  </si>
  <si>
    <t>23-073</t>
  </si>
  <si>
    <t>23-033</t>
  </si>
  <si>
    <t>23-027</t>
  </si>
  <si>
    <t>23-013</t>
  </si>
  <si>
    <t>23-008</t>
  </si>
  <si>
    <t>23-037</t>
  </si>
  <si>
    <t>23-092</t>
  </si>
  <si>
    <t>23-098</t>
  </si>
  <si>
    <t>23-026</t>
  </si>
  <si>
    <t>23-040</t>
  </si>
  <si>
    <t>23-074</t>
  </si>
  <si>
    <t>PDV Mariposa</t>
  </si>
  <si>
    <t>Harris County Housing Authority PFC</t>
  </si>
  <si>
    <t>Bernicia Place</t>
  </si>
  <si>
    <t>Continental Park Apartments</t>
  </si>
  <si>
    <t>South Terrace Apartments</t>
  </si>
  <si>
    <t>Oak Hill Lofts</t>
  </si>
  <si>
    <t>Victoria PFC</t>
  </si>
  <si>
    <t>Odem Street Apartments</t>
  </si>
  <si>
    <t>Palladium Crestway</t>
  </si>
  <si>
    <t>Creek Bend Apartment Homes</t>
  </si>
  <si>
    <t>Costa Almadena Apartments</t>
  </si>
  <si>
    <t>Westwood Plaza Apartments</t>
  </si>
  <si>
    <t>Oakwood Trails Apartments</t>
  </si>
  <si>
    <t>Spring</t>
  </si>
  <si>
    <t>Village at Meadowbend</t>
  </si>
  <si>
    <t>Waste Management, Inc. Project, Series 2023</t>
  </si>
  <si>
    <t>New Boston, Lewisville, Ferris, New Braunfels, Cleveland, Temple, Hutto, Alvin, San Antonio, Orla, Pecos, Big Lake, Sherman, &amp; Big Spring</t>
  </si>
  <si>
    <t>Pinnacle at Wilcrest</t>
  </si>
  <si>
    <t>Willow Creek Manor</t>
  </si>
  <si>
    <t>The Reserve at Anna Senior Apartments</t>
  </si>
  <si>
    <t>The Reserve at Ella Apartments</t>
  </si>
  <si>
    <t>Brookside Gardens Apartments</t>
  </si>
  <si>
    <t>McPherson Apartments</t>
  </si>
  <si>
    <t>Housing Options, Inc</t>
  </si>
  <si>
    <t>Providence at Mockingbird Apartments</t>
  </si>
  <si>
    <t>1518 Apartments</t>
  </si>
  <si>
    <t>Palladium San Antonio</t>
  </si>
  <si>
    <t>New Hope Energy Tyler Project</t>
  </si>
  <si>
    <t>Whisper Hills Apartments</t>
  </si>
  <si>
    <t>Bissonnet Apartments</t>
  </si>
  <si>
    <t>Mansions of Turkey Creek</t>
  </si>
  <si>
    <t>Reserve at 4th Street</t>
  </si>
  <si>
    <t>Bexar Management &amp; Development Corporation</t>
  </si>
  <si>
    <t>Palladium Old FM 471 W</t>
  </si>
  <si>
    <t>Jefferson Enterprise Energy, LLC Solid Waste Disposal and Wastewater Treatment Facilities</t>
  </si>
  <si>
    <t>1.7% of the State Ceiling Limit</t>
  </si>
  <si>
    <t>3.4% of the State Ceiling Limit</t>
  </si>
  <si>
    <t>TENTATIVE</t>
  </si>
  <si>
    <t>TAX CREDIT EMAIL NOTIFICATION</t>
  </si>
  <si>
    <t>4939; $120,848,479.30</t>
  </si>
  <si>
    <t>23CF-001</t>
  </si>
  <si>
    <t>23CF-002</t>
  </si>
  <si>
    <t>23CF-003</t>
  </si>
  <si>
    <t>23CF-004</t>
  </si>
  <si>
    <t>23CF-005</t>
  </si>
  <si>
    <t>23CF-006</t>
  </si>
  <si>
    <t>23CF-007</t>
  </si>
  <si>
    <t>Solscape Apts</t>
  </si>
  <si>
    <t>Manor</t>
  </si>
  <si>
    <t>Airport Commerce Apts</t>
  </si>
  <si>
    <t>Bluestein Boulevard Apts</t>
  </si>
  <si>
    <t>Aspire/Big Austin</t>
  </si>
  <si>
    <t>Sage at Franklin Park</t>
  </si>
  <si>
    <t>Shelby Trace Apts</t>
  </si>
  <si>
    <t>Fuqua Park Apartments</t>
  </si>
  <si>
    <t>**Tax Credit Email- 1/3/2023- withdrawn 1/3/2023</t>
  </si>
  <si>
    <t>**Tax Credit Email- 1/3/2023- received 1/6/2023</t>
  </si>
  <si>
    <t>La Vista De Lopez</t>
  </si>
  <si>
    <t>2022CF (4916)</t>
  </si>
  <si>
    <t>23-132</t>
  </si>
  <si>
    <t>**Tax Credit Email- 1/5/2023- withdrawn 1/9/2023</t>
  </si>
  <si>
    <t>**Tax Credit Email- 1/5/2023- received 1/10/2023</t>
  </si>
  <si>
    <t>**Tax Credit Email- 1/5/2023- received 1/9/2023</t>
  </si>
  <si>
    <t>Corona Del Valle</t>
  </si>
  <si>
    <t>Socorro Village</t>
  </si>
  <si>
    <t>Socorro</t>
  </si>
  <si>
    <t>Aspen Park</t>
  </si>
  <si>
    <t>**Tax Credit Email- 1/6/2023- received 1/11/2023</t>
  </si>
  <si>
    <t>**Tax Credit Email- 1/9/2023- received 1/12/2023</t>
  </si>
  <si>
    <t>Single Family Bonds, Series 2023A</t>
  </si>
  <si>
    <t>Excludes $300,000,000 of CF from 2021</t>
  </si>
  <si>
    <t>**Tax Credit Email- 1/10/2023-received 1/13/2023</t>
  </si>
  <si>
    <t>2022CF (4915)</t>
  </si>
  <si>
    <t>**Tax Credit Email- 1/10/2023- received 1/13/2023</t>
  </si>
  <si>
    <t>**Tax Credit Email- 1/11/2023- received 1/17/2023</t>
  </si>
  <si>
    <t>**Tax Credit Email- 1/12/2023-received 1/18/2023</t>
  </si>
  <si>
    <t>The Life at Westland Estates</t>
  </si>
  <si>
    <t>**Tax Credit Email- 1/12/2023- received 1/18/2023</t>
  </si>
  <si>
    <t>**Tax Credit Email- 1/17/2023-received 1/20/2023</t>
  </si>
  <si>
    <t>**Tax Credit Email- 1/20/2023- received 1/20/2023</t>
  </si>
  <si>
    <t>**Tax Credit Email- 1/17/2023- received 1/20/2023</t>
  </si>
  <si>
    <t>**Tax Credit Email- 1/18/2023- received 1/23/2023</t>
  </si>
  <si>
    <t>2020CF(20CF-011)</t>
  </si>
  <si>
    <t>**Tax Credit Email- 1/18/2023- withdrawn 1/23/2023</t>
  </si>
  <si>
    <t>23-140</t>
  </si>
  <si>
    <t>Northwood Apts</t>
  </si>
  <si>
    <t>**Tax Credit Email- 1/19/2023- withdrawn 1/23/2023</t>
  </si>
  <si>
    <t>**Tax Credit Email- 1/19/2023- received 1/24/2023</t>
  </si>
  <si>
    <t>**Tax Credit Email- 1/24/2023- withdrawn 1/24/2023</t>
  </si>
  <si>
    <t>Eden Courts Apts</t>
  </si>
  <si>
    <t>Seguin</t>
  </si>
  <si>
    <t>**Tax Credit Email- 1/20/2023- withdrawn 1/25/2023</t>
  </si>
  <si>
    <t>**Tax Credit Email- 1/20/2023- received 1/25/2023</t>
  </si>
  <si>
    <t>Residenital Rental</t>
  </si>
  <si>
    <t>2022CF(4906)</t>
  </si>
  <si>
    <t>2022CF(4903)</t>
  </si>
  <si>
    <t>**Tax Credit Email- 1/23/2023- withdrawn 1/25/2023</t>
  </si>
  <si>
    <t>**Tax Credit Email- 1/23/2023- received 1/26/2023</t>
  </si>
  <si>
    <t>**Tax Credit Email- 1/25/2023- withdrawn 1/26/2023</t>
  </si>
  <si>
    <t>Excludes $49,544,835.79 of CF from 2021</t>
  </si>
  <si>
    <t>**Tax Credit Email- 1/24/2023- received 1/27/2023</t>
  </si>
  <si>
    <t>The Life at Timber Ridge</t>
  </si>
  <si>
    <t>**Tax Credit Email- 1/25/2023- received 1/30/2023</t>
  </si>
  <si>
    <t>**Tax Credit Email- 1/27/2023- withdrawn 1/30/2023</t>
  </si>
  <si>
    <t>**Tax Credit Email- 1/25/2023- withdrawn 1/30/2023</t>
  </si>
  <si>
    <t>4993; $20,000,000</t>
  </si>
  <si>
    <t>4999; $50,000,000</t>
  </si>
  <si>
    <t>2021CF(4792)</t>
  </si>
  <si>
    <t>**Tax Credit Email- 1/26/2023- received 1/31/2023</t>
  </si>
  <si>
    <t>Estates at Norwood</t>
  </si>
  <si>
    <t>Bridge at Canyon View</t>
  </si>
  <si>
    <t>**Tax Credit Email- 1/31/2023- received 2/2/2023</t>
  </si>
  <si>
    <t>5003; $30,000,000</t>
  </si>
  <si>
    <t>2022CF (4921&amp;4924)</t>
  </si>
  <si>
    <t>4982; $28,500,000</t>
  </si>
  <si>
    <t>23-146</t>
  </si>
  <si>
    <t>Juniper Creek Apts</t>
  </si>
  <si>
    <t>5004; $36,126,574.19</t>
  </si>
  <si>
    <t>2021CF(4782&amp;4789)</t>
  </si>
  <si>
    <t>**Tax Credit Email- 2/7/2023- withdrawn 2/10/2023</t>
  </si>
  <si>
    <t>5006; $140,380,097.30</t>
  </si>
  <si>
    <t>2021CF (4785) &amp; 2022CF (4902)</t>
  </si>
  <si>
    <t>**Tax Credit Email- 2/13/2023- withdrawn 2/15/2023</t>
  </si>
  <si>
    <t>**Tax Credit Email- 2/13/2023- received 2/13/2023</t>
  </si>
  <si>
    <t>2022CF (4933)</t>
  </si>
  <si>
    <t>2022CF (4897)</t>
  </si>
  <si>
    <t>Bridge at Loyola Lofts</t>
  </si>
  <si>
    <t>23-153</t>
  </si>
  <si>
    <t>Corpus Christi HFC</t>
  </si>
  <si>
    <t>Greenwood Manor Apts</t>
  </si>
  <si>
    <t>Corpus Christi</t>
  </si>
  <si>
    <t>**Tax Credit Email- 2/22/2023- received 2/24/2023</t>
  </si>
  <si>
    <t>5009; $7,000,000</t>
  </si>
  <si>
    <t>**Tax Credit Email- 2/27/2023- received 2/27/2023</t>
  </si>
  <si>
    <t>**Tax Credit Email- 2/27/2023- withdrawn 2/27/2023</t>
  </si>
  <si>
    <t>**Tax Credit Email- 2/27/2023- received 2/28/2023</t>
  </si>
  <si>
    <t>4957; $62,854,526.95</t>
  </si>
  <si>
    <t>**Tax Credit Email-3/1/2023- received 3/6/2023</t>
  </si>
  <si>
    <t>5018; $257.63</t>
  </si>
  <si>
    <t>2022CF (4896)</t>
  </si>
  <si>
    <t>**Tax Credit Email-3/2/2023- received 3/7/2023</t>
  </si>
  <si>
    <t>**Tax Credit Email-3/3/2023- received 3/7/2023</t>
  </si>
  <si>
    <t>5021; $362,000</t>
  </si>
  <si>
    <t>2021CF (4793)</t>
  </si>
  <si>
    <t>5006; $100,293,488.95</t>
  </si>
  <si>
    <t>5003; $9,999,681.45</t>
  </si>
  <si>
    <t>**Tax Credit Email- 3/28/2023- withdrawn 3/28/2023</t>
  </si>
  <si>
    <t>4939; $179,151,520.70</t>
  </si>
  <si>
    <t>**Tax Credit Email- 3/28/2023- received 3/31/2023</t>
  </si>
  <si>
    <t>**Tax Credit Email- 3/29/2023- withdrawn 3/31/2023</t>
  </si>
  <si>
    <t>Kingswood Apartments</t>
  </si>
  <si>
    <t>**Tax Credit Email-3/29/2023- withdrawn 4/3/2023</t>
  </si>
  <si>
    <t>23-158</t>
  </si>
  <si>
    <t>Windsor Heights Apts</t>
  </si>
  <si>
    <t>CANCELLED</t>
  </si>
  <si>
    <t>**Tax Credit Email- 4/3/2023- received 4/6/2023</t>
  </si>
  <si>
    <t>**Tax Credit Email-4/4/2023- received 4/10/2023</t>
  </si>
  <si>
    <t>**Tax Credit Email- 4/24/2023- withdrawn 4/24/2023</t>
  </si>
  <si>
    <t>**Tax Credit Email- 4/24/2023- received 4/27/2023</t>
  </si>
  <si>
    <t>23-162</t>
  </si>
  <si>
    <t>**Tax Credit Email- 4/25/2023- received 4/28/2023</t>
  </si>
  <si>
    <t>23-163</t>
  </si>
  <si>
    <t>Brownsville HFC (PFC formed under Ch 303 LGC)</t>
  </si>
  <si>
    <t>La Villita Apts</t>
  </si>
  <si>
    <t>Excludes $35,000,000 of CF from 2020</t>
  </si>
  <si>
    <t>Excludes $14,000,000 of CF from 2020</t>
  </si>
  <si>
    <t>23-165</t>
  </si>
  <si>
    <t>Taylor RAD Family - Phase I</t>
  </si>
  <si>
    <t>23-166</t>
  </si>
  <si>
    <t>Parmer Crossing South</t>
  </si>
  <si>
    <t>2022CF (4902)</t>
  </si>
  <si>
    <t>2020CF(4673)</t>
  </si>
  <si>
    <t>23-169</t>
  </si>
  <si>
    <t>**Tax Credit Email- 5/16/2023- received 5/19/2023</t>
  </si>
  <si>
    <t>**Tax Credit Email- 5/22/2023- received 5/25/2023</t>
  </si>
  <si>
    <t>23-170</t>
  </si>
  <si>
    <t>23-171</t>
  </si>
  <si>
    <t>Winston Square/Roselawn Apts</t>
  </si>
  <si>
    <t>Pecan Manor/Spanish Spur Apts</t>
  </si>
  <si>
    <t>23-172</t>
  </si>
  <si>
    <t>**Tax Credit Email- 6/5/2023- withdrawn 6/8/2023</t>
  </si>
  <si>
    <t>5030; $210,833,049.65</t>
  </si>
  <si>
    <t>**Tax Credit Email- 6/13/2023- received 6/16/2023</t>
  </si>
  <si>
    <t>**Tax Credit Email- 5/22/2023- withdrawn 5/22/2023</t>
  </si>
  <si>
    <t>**Tax Credit Email-6/14/2023- expired 6/20/2023</t>
  </si>
  <si>
    <t>EXPIRED</t>
  </si>
  <si>
    <t>**Tax Credit Email- 6/15/2023- received 6/20/2023</t>
  </si>
  <si>
    <t>23-174</t>
  </si>
  <si>
    <t>Mortgage Credit Certificates Program 7</t>
  </si>
  <si>
    <t>23-177</t>
  </si>
  <si>
    <t>23-178</t>
  </si>
  <si>
    <t>**Tax Credit Email- 6/22/2023- received 6/27/2023</t>
  </si>
  <si>
    <t>**Tax Credit Email- 6/27/2023- received 6/27/2023</t>
  </si>
  <si>
    <t>**Tax Credit Email- 6/23/2023- received 6/27/2023</t>
  </si>
  <si>
    <t>**Tax Credit Email- 6/23/2023- received 6/28/2023</t>
  </si>
  <si>
    <t>5002; $4,000,000 &amp; 5001; $5,000,000 &amp; 4981; $4,000,000 &amp; 5012; $3,000,000</t>
  </si>
  <si>
    <t>**Tax Credit Email- 6/29/2023- received 7/6/2023</t>
  </si>
  <si>
    <t>23-180</t>
  </si>
  <si>
    <t>The Reserve at Anna Senior Apts</t>
  </si>
  <si>
    <t>4946; $10,999,163.7</t>
  </si>
  <si>
    <t>23-182</t>
  </si>
  <si>
    <t>Landing on Orem</t>
  </si>
  <si>
    <t>23-183</t>
  </si>
  <si>
    <t>23-184</t>
  </si>
  <si>
    <t>Mortgage Credit Certificates Series 2023</t>
  </si>
  <si>
    <t>Carmeron County</t>
  </si>
  <si>
    <t>23-188</t>
  </si>
  <si>
    <t>23-189</t>
  </si>
  <si>
    <t>The Remnant at Greenwood Apartments I</t>
  </si>
  <si>
    <t>The Remnant at Greenwood Apartments II</t>
  </si>
  <si>
    <t xml:space="preserve">TSAHC - 10% </t>
  </si>
  <si>
    <t>**Tax Credit Email- 7/26/2023- withdrawn 7/31/2023</t>
  </si>
  <si>
    <t>5005; $836.3</t>
  </si>
  <si>
    <t>5057; $38,111,197.40</t>
  </si>
  <si>
    <t>2022CF (4902 &amp; 4914)</t>
  </si>
  <si>
    <t>QMBs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</si>
  <si>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</si>
  <si>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</si>
  <si>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</si>
  <si>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</si>
  <si>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</si>
  <si>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**Tax Credit Email- 8/2/2023- withdrawn 8/3/2023</t>
  </si>
  <si>
    <t>Grand Prairie</t>
  </si>
  <si>
    <t>**Tax Credit Email- 8/4/2023- withdrawn 8/4/2023</t>
  </si>
  <si>
    <t>2023 SF Mortgage Origination Program</t>
  </si>
  <si>
    <t>Travis County</t>
  </si>
  <si>
    <t>5029; $7,580,000</t>
  </si>
  <si>
    <t>4973; $14,500,000 &amp; 4995; $25,000,000</t>
  </si>
  <si>
    <t>23-202</t>
  </si>
  <si>
    <t>5007; $4,200,000</t>
  </si>
  <si>
    <t>5004; $11,873,286.21</t>
  </si>
  <si>
    <t>**Tax Credit Email- 8/9/2023- withdrawn 8/10/2023</t>
  </si>
  <si>
    <t>Norman Commons</t>
  </si>
  <si>
    <t>**Tax Credit Email- 8/14/2023</t>
  </si>
  <si>
    <t>TDHCA (Assigned by Arlington HFC)</t>
  </si>
  <si>
    <t>TDHCA (Assigned by Travis County HFC)</t>
  </si>
  <si>
    <t>**Tax Credit Email- 8/16/2023- withdrawn 8/16/2023</t>
  </si>
  <si>
    <t>**Tax Credit Email- 8/14/2023- received 8/17/2023</t>
  </si>
  <si>
    <t>**Tax Credit Email- 8/14/2023- withdrawn 8/17/2023</t>
  </si>
  <si>
    <t>**Tax Credit Email- 8/15/2023- received 8/18/2023</t>
  </si>
  <si>
    <t>**Tax Credit Email- 8/16/2023- received 8/18/2023</t>
  </si>
  <si>
    <t>**Tax Credit Email- 8/16/2023- received 8/21/2023</t>
  </si>
  <si>
    <t>5071; $4,000,000</t>
  </si>
  <si>
    <t>2022CF (4927)</t>
  </si>
  <si>
    <t>TDHCA (Assigned by Tarrant County HFC)</t>
  </si>
  <si>
    <t>TDHCA (Assigned by McKinney HFC)</t>
  </si>
  <si>
    <t>Brazos HEA, Inc.</t>
  </si>
  <si>
    <t>Tax-Exempt Student Loan Program Revenue Bonds, Series 2023</t>
  </si>
  <si>
    <t>2020CF (4686)</t>
  </si>
  <si>
    <t>5082; $43,375,000</t>
  </si>
  <si>
    <t>5057; $171,064,619.75</t>
  </si>
  <si>
    <t>5044; $5,000,000</t>
  </si>
  <si>
    <t>TDHCA (Assigned by Harris County HFC)</t>
  </si>
  <si>
    <t>TDHCA (Assigned by Fort Bend County HFC)</t>
  </si>
  <si>
    <t>TDHCA (Assigned by The Cameron County HFC)</t>
  </si>
  <si>
    <t>23-206</t>
  </si>
  <si>
    <t>**Tax Credit Email- 9/28/2023- received 10/3/2023</t>
  </si>
  <si>
    <t>HHA Fountainview PFC</t>
  </si>
  <si>
    <t>5089; $15,000,000</t>
  </si>
  <si>
    <t>2022CF (4917)</t>
  </si>
  <si>
    <t>The Cesera</t>
  </si>
  <si>
    <t>TDHCA (Assigned by Grand Prairie HFC)</t>
  </si>
  <si>
    <t>23-208</t>
  </si>
  <si>
    <t>Chaparral Steel Midlothian, LP Project</t>
  </si>
  <si>
    <t>Midlothian</t>
  </si>
  <si>
    <t>**Tax Credit Email- 10/12/2023- received 10/16/2023</t>
  </si>
  <si>
    <t>23-209</t>
  </si>
  <si>
    <t>Bexar M&amp;DC</t>
  </si>
  <si>
    <t>Oso Apts</t>
  </si>
  <si>
    <t>Converse</t>
  </si>
  <si>
    <t>**Tax Credit Email- 10/13/2023- received 10/18/2023</t>
  </si>
  <si>
    <t>5096; $35,000,000</t>
  </si>
  <si>
    <t>2022CF (4926)</t>
  </si>
  <si>
    <t>Creedmoor Apts</t>
  </si>
  <si>
    <t>Creedmoor</t>
  </si>
  <si>
    <t>**Tax Credit Email- 10/18/2023- received 10/23/2023</t>
  </si>
  <si>
    <t>5097; $38,800,000</t>
  </si>
  <si>
    <t>23-211</t>
  </si>
  <si>
    <t>TDHCA (Assigned by El Paso HFC)</t>
  </si>
  <si>
    <t>TDHCA (Assigned by Capital Area HFC)</t>
  </si>
  <si>
    <t>Includes $35,000,000 of CF from 2022</t>
  </si>
  <si>
    <t>Independence Heights II Apts</t>
  </si>
  <si>
    <t>Route 86 Biogas 2023 Project</t>
  </si>
  <si>
    <t>Plainview &amp; Friona</t>
  </si>
  <si>
    <t>5099; $35,000,000</t>
  </si>
  <si>
    <t>2022CF (4895)</t>
  </si>
  <si>
    <t>5100; $25,000,000</t>
  </si>
  <si>
    <t>5100; $2,000,000</t>
  </si>
  <si>
    <t>5100; $55,217,249</t>
  </si>
  <si>
    <t>5100; $10,000,000</t>
  </si>
  <si>
    <t>5100; $20,000,000</t>
  </si>
  <si>
    <t>2022CF (4907-4912)</t>
  </si>
  <si>
    <t>5101; $16,000,000</t>
  </si>
  <si>
    <t>Solid Waste Disposal Facilities</t>
  </si>
  <si>
    <t>2022CF (4940)</t>
  </si>
  <si>
    <t>5102; $187,145,473.05</t>
  </si>
  <si>
    <t>2022CF(4915)</t>
  </si>
  <si>
    <t>5032; $194.8</t>
  </si>
  <si>
    <t>TDHCA (Assigned by North Central Texas HFC)</t>
  </si>
  <si>
    <t>Includes $15,000,000 of CF from 2022</t>
  </si>
  <si>
    <t>TDHCA (Assigned by City of Dallas HFC)</t>
  </si>
  <si>
    <t>2023 UNENCUMBERED STATE CEILING REQUESTS</t>
  </si>
  <si>
    <t>Any amount in excess of 2023 Traditional Carryforward Applications requests after 12/22/2023 will go towards Unencumbered Requests on the last business day of the program year</t>
  </si>
  <si>
    <t>Includes $38,800,000 of CF from 2022</t>
  </si>
  <si>
    <t>Includes $4,000,000 of CF from 2022</t>
  </si>
  <si>
    <t>23CF-008</t>
  </si>
  <si>
    <t>Highland @ Highway 5</t>
  </si>
  <si>
    <t>Melissa</t>
  </si>
  <si>
    <t>23CF-009</t>
  </si>
  <si>
    <t>Kingswood Apts</t>
  </si>
  <si>
    <t>23CF-010</t>
  </si>
  <si>
    <t>Brazos HEA Inc</t>
  </si>
  <si>
    <t>23CF-011</t>
  </si>
  <si>
    <t>Canyon Drive Apts</t>
  </si>
  <si>
    <t>Coppell</t>
  </si>
  <si>
    <t>23CF-012</t>
  </si>
  <si>
    <t>Houstin</t>
  </si>
  <si>
    <t>23CF-UNENCUMBERED</t>
  </si>
  <si>
    <t>23CF-013</t>
  </si>
  <si>
    <t>South Mesa Hills Apts</t>
  </si>
  <si>
    <t>23CF-014</t>
  </si>
  <si>
    <t>Riverstone Apts</t>
  </si>
  <si>
    <t>5100; $46,009,694.65</t>
  </si>
  <si>
    <t>23CF-015</t>
  </si>
  <si>
    <t>The Ridge at Loop 12</t>
  </si>
  <si>
    <t>23CF-016</t>
  </si>
  <si>
    <t>Including Amts Reserved</t>
  </si>
  <si>
    <t>Against 2023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</si>
</sst>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0_);_(&quot;$&quot;* \(#,##0.00000\);_(&quot;$&quot;* &quot;-&quot;?????_);_(@_)"/>
    <numFmt numFmtId="175" formatCode="_(&quot;$&quot;* #,##0.0000_);_(&quot;$&quot;* \(#,##0.0000\);_(&quot;$&quot;* &quot;-&quot;????_);_(@_)"/>
    <numFmt numFmtId="176" formatCode="_(* #,##0_);_(* \(#,##0\);_(* &quot;-&quot;??_);_(@_)"/>
    <numFmt numFmtId="177" formatCode="_(&quot;$&quot;* #,##0.0000_);_(&quot;$&quot;* \(#,##0.0000\);_(&quot;$&quot;* &quot;-&quot;??_);_(@_)"/>
    <numFmt numFmtId="178" formatCode="&quot;$&quot;#,##0.00000"/>
    <numFmt numFmtId="179" formatCode="0.0000%"/>
    <numFmt numFmtId="180" formatCode="_(&quot;$&quot;* #,##0_);_(&quot;$&quot;* \(#,##0\);_(&quot;$&quot;* &quot;-&quot;?????_);_(@_)"/>
    <numFmt numFmtId="181" formatCode="_(&quot;$&quot;* #,##0.0_);_(&quot;$&quot;* \(#,##0.0\);_(&quot;$&quot;* &quot;-&quot;?_);_(@_)"/>
    <numFmt numFmtId="182" formatCode="0.00000%"/>
    <numFmt numFmtId="183" formatCode="&quot;$&quot;#,##0.0_);[Red]\(&quot;$&quot;#,##0.0\)"/>
  </numFmts>
  <fonts count="33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b/>
      <u/>
      <sz val="9"/>
      <name val="Times New Roman"/>
      <family val="1"/>
    </font>
    <font>
      <b/>
      <sz val="12"/>
      <name val="Garamond"/>
      <family val="1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name val="Geneva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sz val="9"/>
      <color rgb="FFFF0000"/>
      <name val="Geneva"/>
    </font>
    <font>
      <b/>
      <i/>
      <sz val="9"/>
      <name val="Times New Roman"/>
      <family val="1"/>
    </font>
    <font>
      <b/>
      <sz val="9"/>
      <color rgb="FFFF0000"/>
      <name val="Genev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4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8" applyFont="1" applyAlignment="1">
      <alignment horizontal="center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Alignment="1">
      <alignment horizontal="right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42" fontId="4" fillId="0" borderId="9" xfId="0" applyNumberFormat="1" applyFont="1" applyBorder="1" applyAlignment="1">
      <alignment horizontal="center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164" fontId="4" fillId="0" borderId="0" xfId="48" applyNumberFormat="1" applyFont="1" applyAlignment="1">
      <alignment horizontal="center"/>
    </xf>
    <xf numFmtId="0" fontId="5" fillId="0" borderId="15" xfId="0" applyFont="1" applyBorder="1" applyAlignment="1">
      <alignment horizontal="left"/>
    </xf>
    <xf numFmtId="174" fontId="4" fillId="0" borderId="0" xfId="0" applyNumberFormat="1" applyFont="1"/>
    <xf numFmtId="176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8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5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42" fontId="4" fillId="0" borderId="0" xfId="8" applyNumberFormat="1" applyFont="1"/>
    <xf numFmtId="0" fontId="11" fillId="0" borderId="0" xfId="0" applyFont="1" applyAlignment="1">
      <alignment horizontal="center"/>
    </xf>
    <xf numFmtId="176" fontId="4" fillId="0" borderId="0" xfId="1" applyNumberFormat="1" applyFont="1"/>
    <xf numFmtId="164" fontId="14" fillId="0" borderId="0" xfId="0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7" fontId="4" fillId="0" borderId="0" xfId="0" applyNumberFormat="1" applyFont="1" applyAlignment="1">
      <alignment horizontal="center"/>
    </xf>
    <xf numFmtId="176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0" fontId="13" fillId="0" borderId="0" xfId="0" applyFont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42" fontId="4" fillId="0" borderId="0" xfId="19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2" fillId="0" borderId="0" xfId="0" applyFont="1"/>
    <xf numFmtId="43" fontId="5" fillId="0" borderId="2" xfId="1" applyFont="1" applyBorder="1" applyAlignment="1">
      <alignment horizontal="center"/>
    </xf>
    <xf numFmtId="176" fontId="0" fillId="0" borderId="0" xfId="1" applyNumberFormat="1" applyFont="1"/>
    <xf numFmtId="44" fontId="5" fillId="0" borderId="0" xfId="23" applyFont="1" applyBorder="1" applyAlignment="1">
      <alignment horizontal="center"/>
    </xf>
    <xf numFmtId="178" fontId="4" fillId="0" borderId="0" xfId="0" applyNumberFormat="1" applyFont="1"/>
    <xf numFmtId="44" fontId="4" fillId="0" borderId="0" xfId="8" applyNumberFormat="1" applyFont="1"/>
    <xf numFmtId="171" fontId="5" fillId="0" borderId="0" xfId="48" applyNumberFormat="1" applyFont="1" applyAlignment="1">
      <alignment horizontal="center"/>
    </xf>
    <xf numFmtId="179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9" fontId="4" fillId="0" borderId="0" xfId="48" applyNumberFormat="1" applyFont="1" applyAlignment="1">
      <alignment horizontal="center"/>
    </xf>
    <xf numFmtId="0" fontId="23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5" fillId="0" borderId="6" xfId="0" applyFont="1" applyBorder="1" applyAlignment="1">
      <alignment horizontal="right"/>
    </xf>
    <xf numFmtId="42" fontId="4" fillId="0" borderId="6" xfId="8" applyNumberFormat="1" applyFont="1" applyBorder="1"/>
    <xf numFmtId="42" fontId="4" fillId="0" borderId="8" xfId="8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9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20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20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6" fontId="5" fillId="0" borderId="0" xfId="1" applyNumberFormat="1" applyFont="1" applyBorder="1" applyAlignment="1">
      <alignment horizontal="center"/>
    </xf>
    <xf numFmtId="14" fontId="19" fillId="0" borderId="0" xfId="0" applyNumberFormat="1" applyFont="1"/>
    <xf numFmtId="176" fontId="5" fillId="0" borderId="0" xfId="0" applyNumberFormat="1" applyFont="1"/>
    <xf numFmtId="176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176" fontId="5" fillId="0" borderId="6" xfId="0" applyNumberFormat="1" applyFont="1" applyBorder="1" applyAlignment="1">
      <alignment horizontal="right"/>
    </xf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64" fontId="4" fillId="0" borderId="0" xfId="1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10" fillId="0" borderId="5" xfId="0" applyNumberFormat="1" applyFont="1" applyBorder="1" applyAlignment="1">
      <alignment horizontal="right"/>
    </xf>
    <xf numFmtId="14" fontId="10" fillId="0" borderId="8" xfId="0" applyNumberFormat="1" applyFont="1" applyBorder="1" applyAlignment="1">
      <alignment horizontal="right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Border="1" applyAlignment="1">
      <alignment horizontal="left"/>
    </xf>
    <xf numFmtId="164" fontId="4" fillId="0" borderId="0" xfId="1" applyNumberFormat="1" applyFont="1" applyBorder="1" applyAlignment="1"/>
    <xf numFmtId="164" fontId="1" fillId="0" borderId="0" xfId="0" applyNumberFormat="1" applyFont="1"/>
    <xf numFmtId="0" fontId="23" fillId="0" borderId="0" xfId="0" applyFont="1"/>
    <xf numFmtId="164" fontId="4" fillId="0" borderId="0" xfId="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42" fontId="23" fillId="0" borderId="0" xfId="0" applyNumberFormat="1" applyFont="1"/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42" fontId="4" fillId="0" borderId="0" xfId="8" applyNumberFormat="1" applyFont="1" applyFill="1" applyBorder="1" applyAlignment="1">
      <alignment horizontal="center"/>
    </xf>
    <xf numFmtId="5" fontId="4" fillId="0" borderId="0" xfId="48" applyNumberFormat="1" applyFont="1"/>
    <xf numFmtId="180" fontId="4" fillId="0" borderId="0" xfId="0" applyNumberFormat="1" applyFont="1"/>
    <xf numFmtId="14" fontId="4" fillId="0" borderId="0" xfId="8" applyNumberFormat="1" applyFont="1" applyBorder="1" applyAlignment="1">
      <alignment horizontal="right"/>
    </xf>
    <xf numFmtId="14" fontId="4" fillId="0" borderId="0" xfId="8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164" fontId="4" fillId="0" borderId="0" xfId="1" applyNumberFormat="1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164" fontId="4" fillId="0" borderId="0" xfId="1" applyNumberFormat="1" applyFont="1" applyFill="1" applyAlignment="1">
      <alignment horizontal="left"/>
    </xf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3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42" fontId="4" fillId="0" borderId="14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166" fontId="4" fillId="0" borderId="0" xfId="8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4" fontId="0" fillId="0" borderId="0" xfId="0" applyNumberFormat="1" applyAlignment="1">
      <alignment horizontal="left"/>
    </xf>
    <xf numFmtId="164" fontId="23" fillId="0" borderId="0" xfId="0" applyNumberFormat="1" applyFont="1"/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6" fontId="4" fillId="0" borderId="2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176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4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5" fontId="19" fillId="0" borderId="0" xfId="0" applyNumberFormat="1" applyFont="1" applyAlignment="1">
      <alignment horizontal="left"/>
    </xf>
    <xf numFmtId="164" fontId="19" fillId="0" borderId="0" xfId="0" applyNumberFormat="1" applyFont="1"/>
    <xf numFmtId="14" fontId="19" fillId="0" borderId="0" xfId="0" applyNumberFormat="1" applyFont="1" applyAlignment="1">
      <alignment horizontal="right"/>
    </xf>
    <xf numFmtId="44" fontId="5" fillId="0" borderId="19" xfId="0" applyNumberFormat="1" applyFont="1" applyBorder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14" fontId="23" fillId="0" borderId="0" xfId="0" applyNumberFormat="1" applyFont="1" applyAlignment="1">
      <alignment horizontal="center"/>
    </xf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168" fontId="4" fillId="0" borderId="9" xfId="0" applyNumberFormat="1" applyFont="1" applyBorder="1" applyAlignment="1">
      <alignment horizontal="center"/>
    </xf>
    <xf numFmtId="0" fontId="25" fillId="0" borderId="0" xfId="0" applyFont="1"/>
    <xf numFmtId="164" fontId="23" fillId="0" borderId="0" xfId="8" applyNumberFormat="1" applyFont="1" applyBorder="1" applyAlignment="1">
      <alignment horizontal="center"/>
    </xf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44" fontId="4" fillId="0" borderId="9" xfId="0" applyNumberFormat="1" applyFont="1" applyBorder="1" applyAlignment="1">
      <alignment horizontal="right"/>
    </xf>
    <xf numFmtId="164" fontId="4" fillId="2" borderId="25" xfId="0" applyNumberFormat="1" applyFont="1" applyFill="1" applyBorder="1" applyAlignment="1">
      <alignment horizontal="center"/>
    </xf>
    <xf numFmtId="14" fontId="23" fillId="0" borderId="0" xfId="0" applyNumberFormat="1" applyFont="1" applyAlignment="1">
      <alignment horizontal="right"/>
    </xf>
    <xf numFmtId="0" fontId="26" fillId="0" borderId="0" xfId="0" applyFont="1"/>
    <xf numFmtId="14" fontId="4" fillId="0" borderId="0" xfId="1" applyNumberFormat="1" applyFont="1"/>
    <xf numFmtId="164" fontId="19" fillId="0" borderId="0" xfId="8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left"/>
    </xf>
    <xf numFmtId="164" fontId="23" fillId="0" borderId="0" xfId="8" applyNumberFormat="1" applyFont="1" applyFill="1" applyBorder="1" applyAlignment="1">
      <alignment horizontal="center"/>
    </xf>
    <xf numFmtId="174" fontId="0" fillId="0" borderId="0" xfId="0" applyNumberFormat="1"/>
    <xf numFmtId="181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5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64" fontId="4" fillId="0" borderId="2" xfId="8" applyNumberFormat="1" applyFont="1" applyFill="1" applyBorder="1" applyAlignment="1">
      <alignment horizontal="center"/>
    </xf>
    <xf numFmtId="0" fontId="4" fillId="0" borderId="0" xfId="8" applyNumberFormat="1" applyFont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0" fontId="2" fillId="0" borderId="0" xfId="0" applyFont="1"/>
    <xf numFmtId="44" fontId="23" fillId="0" borderId="0" xfId="0" applyNumberFormat="1" applyFont="1"/>
    <xf numFmtId="166" fontId="24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2" fontId="4" fillId="0" borderId="0" xfId="8" applyNumberFormat="1" applyFont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3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164" fontId="4" fillId="0" borderId="0" xfId="8" applyNumberFormat="1" applyFont="1" applyFill="1" applyBorder="1" applyAlignment="1">
      <alignment horizontal="righ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7" fillId="0" borderId="0" xfId="0" applyNumberFormat="1" applyFont="1"/>
    <xf numFmtId="44" fontId="28" fillId="0" borderId="0" xfId="0" applyNumberFormat="1" applyFont="1"/>
    <xf numFmtId="5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4" fillId="0" borderId="14" xfId="8" applyNumberFormat="1" applyFont="1" applyBorder="1" applyAlignment="1">
      <alignment horizontal="center"/>
    </xf>
    <xf numFmtId="164" fontId="29" fillId="0" borderId="0" xfId="0" applyNumberFormat="1" applyFont="1"/>
    <xf numFmtId="0" fontId="4" fillId="0" borderId="25" xfId="0" applyFont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5" fontId="4" fillId="0" borderId="25" xfId="0" applyNumberFormat="1" applyFont="1" applyBorder="1" applyAlignment="1">
      <alignment horizontal="left"/>
    </xf>
    <xf numFmtId="164" fontId="4" fillId="0" borderId="25" xfId="8" applyNumberFormat="1" applyFont="1" applyBorder="1" applyAlignment="1">
      <alignment horizontal="right"/>
    </xf>
    <xf numFmtId="14" fontId="4" fillId="0" borderId="25" xfId="0" applyNumberFormat="1" applyFont="1" applyBorder="1" applyAlignment="1">
      <alignment horizontal="right"/>
    </xf>
    <xf numFmtId="42" fontId="4" fillId="0" borderId="25" xfId="19" applyNumberFormat="1" applyFont="1" applyBorder="1" applyAlignment="1">
      <alignment horizontal="right"/>
    </xf>
    <xf numFmtId="14" fontId="0" fillId="0" borderId="25" xfId="0" applyNumberFormat="1" applyBorder="1"/>
    <xf numFmtId="0" fontId="0" fillId="0" borderId="25" xfId="0" applyBorder="1"/>
    <xf numFmtId="0" fontId="9" fillId="0" borderId="25" xfId="0" applyFont="1" applyBorder="1" applyAlignment="1">
      <alignment horizontal="center"/>
    </xf>
    <xf numFmtId="164" fontId="4" fillId="0" borderId="25" xfId="8" applyNumberFormat="1" applyFont="1" applyBorder="1" applyAlignment="1">
      <alignment horizontal="center"/>
    </xf>
    <xf numFmtId="14" fontId="4" fillId="0" borderId="25" xfId="0" applyNumberFormat="1" applyFont="1" applyBorder="1" applyAlignment="1">
      <alignment horizontal="center"/>
    </xf>
    <xf numFmtId="42" fontId="4" fillId="0" borderId="25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44" fontId="15" fillId="0" borderId="0" xfId="0" applyNumberFormat="1" applyFont="1" applyAlignment="1">
      <alignment horizontal="right"/>
    </xf>
    <xf numFmtId="164" fontId="15" fillId="0" borderId="0" xfId="0" applyNumberFormat="1" applyFont="1"/>
    <xf numFmtId="164" fontId="29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5" fontId="29" fillId="0" borderId="2" xfId="0" applyNumberFormat="1" applyFont="1" applyBorder="1" applyAlignment="1">
      <alignment horizontal="center"/>
    </xf>
    <xf numFmtId="0" fontId="30" fillId="0" borderId="0" xfId="0" applyFont="1"/>
    <xf numFmtId="0" fontId="4" fillId="4" borderId="0" xfId="0" applyFont="1" applyFill="1"/>
    <xf numFmtId="6" fontId="4" fillId="4" borderId="0" xfId="0" applyNumberFormat="1" applyFont="1" applyFill="1" applyAlignment="1">
      <alignment horizontal="center"/>
    </xf>
    <xf numFmtId="169" fontId="5" fillId="0" borderId="0" xfId="48" applyNumberFormat="1" applyFont="1" applyAlignment="1">
      <alignment horizontal="right"/>
    </xf>
    <xf numFmtId="0" fontId="5" fillId="3" borderId="0" xfId="0" applyFont="1" applyFill="1" applyAlignment="1">
      <alignment horizontal="center"/>
    </xf>
    <xf numFmtId="166" fontId="23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64" fontId="4" fillId="3" borderId="0" xfId="8" applyNumberFormat="1" applyFont="1" applyFill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5" fontId="4" fillId="5" borderId="0" xfId="0" applyNumberFormat="1" applyFont="1" applyFill="1" applyAlignment="1">
      <alignment horizontal="center"/>
    </xf>
    <xf numFmtId="164" fontId="4" fillId="5" borderId="0" xfId="8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center"/>
    </xf>
    <xf numFmtId="44" fontId="4" fillId="5" borderId="0" xfId="8" applyNumberFormat="1" applyFont="1" applyFill="1" applyBorder="1" applyAlignment="1">
      <alignment horizontal="center"/>
    </xf>
    <xf numFmtId="165" fontId="4" fillId="5" borderId="0" xfId="8" applyFont="1" applyFill="1" applyBorder="1" applyAlignment="1">
      <alignment horizontal="center"/>
    </xf>
    <xf numFmtId="166" fontId="4" fillId="5" borderId="0" xfId="8" applyNumberFormat="1" applyFont="1" applyFill="1" applyBorder="1" applyAlignment="1">
      <alignment horizontal="center"/>
    </xf>
    <xf numFmtId="164" fontId="4" fillId="5" borderId="0" xfId="8" applyNumberFormat="1" applyFont="1" applyFill="1" applyBorder="1" applyAlignment="1">
      <alignment horizontal="right"/>
    </xf>
    <xf numFmtId="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4" fontId="4" fillId="0" borderId="11" xfId="8" applyNumberFormat="1" applyFont="1" applyFill="1" applyBorder="1" applyAlignment="1">
      <alignment horizontal="center"/>
    </xf>
    <xf numFmtId="166" fontId="4" fillId="0" borderId="11" xfId="8" applyNumberFormat="1" applyFont="1" applyFill="1" applyBorder="1" applyAlignment="1">
      <alignment horizontal="center"/>
    </xf>
    <xf numFmtId="164" fontId="4" fillId="3" borderId="11" xfId="8" applyNumberFormat="1" applyFont="1" applyFill="1" applyBorder="1" applyAlignment="1">
      <alignment horizontal="left"/>
    </xf>
    <xf numFmtId="44" fontId="4" fillId="2" borderId="0" xfId="0" applyNumberFormat="1" applyFont="1" applyFill="1" applyAlignment="1">
      <alignment horizontal="center"/>
    </xf>
    <xf numFmtId="44" fontId="23" fillId="0" borderId="0" xfId="8" applyNumberFormat="1" applyFont="1" applyFill="1" applyBorder="1" applyAlignment="1">
      <alignment horizontal="center"/>
    </xf>
    <xf numFmtId="44" fontId="4" fillId="0" borderId="0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5" fontId="4" fillId="0" borderId="16" xfId="0" applyNumberFormat="1" applyFont="1" applyBorder="1" applyAlignment="1">
      <alignment horizontal="center"/>
    </xf>
    <xf numFmtId="164" fontId="4" fillId="0" borderId="16" xfId="8" applyNumberFormat="1" applyFont="1" applyFill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181" fontId="4" fillId="0" borderId="0" xfId="0" applyNumberFormat="1" applyFont="1"/>
    <xf numFmtId="6" fontId="4" fillId="0" borderId="0" xfId="0" applyNumberFormat="1" applyFont="1" applyAlignment="1">
      <alignment horizontal="left"/>
    </xf>
    <xf numFmtId="164" fontId="4" fillId="0" borderId="11" xfId="8" applyNumberFormat="1" applyFont="1" applyFill="1" applyBorder="1" applyAlignment="1">
      <alignment horizontal="left"/>
    </xf>
    <xf numFmtId="44" fontId="19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64" fontId="23" fillId="0" borderId="0" xfId="8" applyNumberFormat="1" applyFont="1" applyFill="1" applyBorder="1" applyAlignment="1">
      <alignment horizontal="left"/>
    </xf>
    <xf numFmtId="164" fontId="19" fillId="0" borderId="0" xfId="8" applyNumberFormat="1" applyFont="1" applyBorder="1" applyAlignment="1">
      <alignment horizontal="center"/>
    </xf>
    <xf numFmtId="14" fontId="23" fillId="0" borderId="0" xfId="0" applyNumberFormat="1" applyFont="1" applyAlignment="1">
      <alignment horizontal="left"/>
    </xf>
    <xf numFmtId="164" fontId="4" fillId="0" borderId="11" xfId="0" applyNumberFormat="1" applyFont="1" applyBorder="1"/>
    <xf numFmtId="10" fontId="4" fillId="0" borderId="0" xfId="0" applyNumberFormat="1" applyFont="1"/>
    <xf numFmtId="182" fontId="4" fillId="0" borderId="0" xfId="48" applyNumberFormat="1" applyFont="1"/>
    <xf numFmtId="182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0" fontId="4" fillId="3" borderId="0" xfId="0" applyFont="1" applyFill="1" applyAlignment="1">
      <alignment horizontal="left"/>
    </xf>
    <xf numFmtId="44" fontId="4" fillId="0" borderId="11" xfId="1" applyNumberFormat="1" applyFont="1" applyBorder="1" applyAlignment="1">
      <alignment horizontal="left"/>
    </xf>
    <xf numFmtId="43" fontId="0" fillId="0" borderId="0" xfId="1" applyFont="1"/>
    <xf numFmtId="44" fontId="23" fillId="0" borderId="0" xfId="0" applyNumberFormat="1" applyFont="1" applyAlignment="1">
      <alignment horizontal="center"/>
    </xf>
    <xf numFmtId="9" fontId="4" fillId="0" borderId="0" xfId="48" applyFont="1" applyFill="1" applyBorder="1" applyAlignment="1">
      <alignment horizontal="center"/>
    </xf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left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6" fontId="4" fillId="0" borderId="0" xfId="0" applyNumberFormat="1" applyFont="1"/>
    <xf numFmtId="176" fontId="4" fillId="0" borderId="0" xfId="8" applyNumberFormat="1" applyFont="1"/>
    <xf numFmtId="176" fontId="23" fillId="0" borderId="0" xfId="1" applyNumberFormat="1" applyFont="1"/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0" fontId="4" fillId="3" borderId="0" xfId="0" applyFont="1" applyFill="1"/>
    <xf numFmtId="0" fontId="4" fillId="0" borderId="11" xfId="0" applyFont="1" applyBorder="1"/>
    <xf numFmtId="0" fontId="4" fillId="6" borderId="0" xfId="0" applyFont="1" applyFill="1" applyAlignment="1">
      <alignment horizontal="center"/>
    </xf>
    <xf numFmtId="5" fontId="4" fillId="6" borderId="0" xfId="0" applyNumberFormat="1" applyFont="1" applyFill="1" applyAlignment="1">
      <alignment horizontal="center"/>
    </xf>
    <xf numFmtId="164" fontId="4" fillId="6" borderId="0" xfId="8" applyNumberFormat="1" applyFont="1" applyFill="1" applyBorder="1" applyAlignment="1">
      <alignment horizontal="center"/>
    </xf>
    <xf numFmtId="14" fontId="4" fillId="6" borderId="0" xfId="0" applyNumberFormat="1" applyFont="1" applyFill="1" applyAlignment="1">
      <alignment horizontal="center"/>
    </xf>
    <xf numFmtId="44" fontId="4" fillId="6" borderId="0" xfId="8" applyNumberFormat="1" applyFont="1" applyFill="1" applyBorder="1" applyAlignment="1">
      <alignment horizontal="center"/>
    </xf>
    <xf numFmtId="166" fontId="4" fillId="6" borderId="0" xfId="8" applyNumberFormat="1" applyFont="1" applyFill="1" applyBorder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left"/>
    </xf>
    <xf numFmtId="164" fontId="4" fillId="6" borderId="0" xfId="8" applyNumberFormat="1" applyFont="1" applyFill="1" applyBorder="1" applyAlignment="1">
      <alignment horizontal="right"/>
    </xf>
    <xf numFmtId="42" fontId="4" fillId="6" borderId="0" xfId="8" applyNumberFormat="1" applyFont="1" applyFill="1" applyBorder="1" applyAlignment="1">
      <alignment horizontal="center"/>
    </xf>
    <xf numFmtId="164" fontId="4" fillId="6" borderId="0" xfId="0" applyNumberFormat="1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164" fontId="23" fillId="6" borderId="0" xfId="8" applyNumberFormat="1" applyFont="1" applyFill="1" applyBorder="1" applyAlignment="1">
      <alignment horizontal="center"/>
    </xf>
    <xf numFmtId="14" fontId="23" fillId="6" borderId="0" xfId="0" applyNumberFormat="1" applyFont="1" applyFill="1"/>
    <xf numFmtId="0" fontId="23" fillId="6" borderId="0" xfId="0" applyFont="1" applyFill="1"/>
    <xf numFmtId="166" fontId="23" fillId="6" borderId="0" xfId="8" applyNumberFormat="1" applyFont="1" applyFill="1" applyBorder="1" applyAlignment="1">
      <alignment horizontal="center"/>
    </xf>
    <xf numFmtId="14" fontId="23" fillId="6" borderId="0" xfId="0" applyNumberFormat="1" applyFont="1" applyFill="1" applyAlignment="1">
      <alignment horizontal="center"/>
    </xf>
    <xf numFmtId="0" fontId="23" fillId="6" borderId="0" xfId="0" applyFont="1" applyFill="1" applyAlignment="1">
      <alignment horizontal="left"/>
    </xf>
    <xf numFmtId="0" fontId="24" fillId="6" borderId="0" xfId="0" applyFont="1" applyFill="1" applyAlignment="1">
      <alignment horizontal="center"/>
    </xf>
    <xf numFmtId="5" fontId="23" fillId="6" borderId="0" xfId="0" applyNumberFormat="1" applyFont="1" applyFill="1" applyAlignment="1">
      <alignment horizontal="center"/>
    </xf>
    <xf numFmtId="0" fontId="4" fillId="3" borderId="11" xfId="0" applyFont="1" applyFill="1" applyBorder="1" applyAlignment="1">
      <alignment horizontal="left"/>
    </xf>
    <xf numFmtId="0" fontId="23" fillId="0" borderId="11" xfId="0" applyFont="1" applyBorder="1" applyAlignment="1">
      <alignment horizontal="center"/>
    </xf>
    <xf numFmtId="5" fontId="23" fillId="0" borderId="11" xfId="0" applyNumberFormat="1" applyFont="1" applyBorder="1" applyAlignment="1">
      <alignment horizontal="center"/>
    </xf>
    <xf numFmtId="164" fontId="23" fillId="0" borderId="11" xfId="8" applyNumberFormat="1" applyFont="1" applyFill="1" applyBorder="1" applyAlignment="1">
      <alignment horizontal="center"/>
    </xf>
    <xf numFmtId="14" fontId="23" fillId="0" borderId="11" xfId="0" applyNumberFormat="1" applyFont="1" applyBorder="1" applyAlignment="1">
      <alignment horizontal="center"/>
    </xf>
    <xf numFmtId="166" fontId="23" fillId="0" borderId="11" xfId="8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left"/>
    </xf>
    <xf numFmtId="44" fontId="23" fillId="0" borderId="11" xfId="8" applyNumberFormat="1" applyFont="1" applyFill="1" applyBorder="1" applyAlignment="1">
      <alignment horizontal="center"/>
    </xf>
    <xf numFmtId="165" fontId="23" fillId="0" borderId="0" xfId="8" applyFont="1" applyBorder="1" applyAlignment="1">
      <alignment horizontal="left"/>
    </xf>
    <xf numFmtId="44" fontId="4" fillId="2" borderId="0" xfId="1" applyNumberFormat="1" applyFont="1" applyFill="1" applyBorder="1"/>
    <xf numFmtId="44" fontId="4" fillId="0" borderId="11" xfId="8" applyNumberFormat="1" applyFont="1" applyBorder="1" applyAlignment="1">
      <alignment horizontal="right"/>
    </xf>
    <xf numFmtId="8" fontId="4" fillId="0" borderId="0" xfId="8" applyNumberFormat="1" applyFont="1" applyFill="1" applyBorder="1" applyAlignment="1">
      <alignment horizontal="center"/>
    </xf>
    <xf numFmtId="4" fontId="4" fillId="0" borderId="0" xfId="0" applyNumberFormat="1" applyFont="1"/>
    <xf numFmtId="183" fontId="4" fillId="0" borderId="0" xfId="0" applyNumberFormat="1" applyFont="1"/>
    <xf numFmtId="170" fontId="4" fillId="0" borderId="0" xfId="8" applyNumberFormat="1" applyFont="1" applyBorder="1" applyAlignment="1">
      <alignment horizontal="center"/>
    </xf>
    <xf numFmtId="2" fontId="4" fillId="0" borderId="0" xfId="8" applyNumberFormat="1" applyFont="1" applyAlignment="1">
      <alignment horizontal="right"/>
    </xf>
    <xf numFmtId="14" fontId="4" fillId="0" borderId="0" xfId="8" applyNumberFormat="1" applyFont="1" applyBorder="1" applyAlignment="1">
      <alignment horizontal="center"/>
    </xf>
    <xf numFmtId="42" fontId="23" fillId="0" borderId="0" xfId="8" applyNumberFormat="1" applyFont="1" applyFill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4" fontId="23" fillId="0" borderId="0" xfId="8" applyNumberFormat="1" applyFont="1" applyFill="1" applyBorder="1" applyAlignment="1">
      <alignment horizontal="center"/>
    </xf>
    <xf numFmtId="164" fontId="23" fillId="0" borderId="0" xfId="8" applyNumberFormat="1" applyFont="1" applyFill="1" applyBorder="1" applyAlignment="1">
      <alignment horizontal="right"/>
    </xf>
    <xf numFmtId="7" fontId="23" fillId="0" borderId="0" xfId="0" applyNumberFormat="1" applyFont="1"/>
    <xf numFmtId="44" fontId="4" fillId="0" borderId="0" xfId="8" applyNumberFormat="1" applyFont="1" applyFill="1" applyBorder="1" applyAlignment="1">
      <alignment horizontal="right"/>
    </xf>
    <xf numFmtId="3" fontId="0" fillId="0" borderId="0" xfId="0" applyNumberFormat="1"/>
    <xf numFmtId="0" fontId="31" fillId="0" borderId="0" xfId="0" applyFont="1" applyAlignment="1">
      <alignment horizontal="left"/>
    </xf>
    <xf numFmtId="5" fontId="31" fillId="0" borderId="0" xfId="0" applyNumberFormat="1" applyFont="1" applyAlignment="1">
      <alignment horizontal="left"/>
    </xf>
    <xf numFmtId="164" fontId="31" fillId="0" borderId="0" xfId="0" applyNumberFormat="1" applyFont="1"/>
    <xf numFmtId="14" fontId="31" fillId="0" borderId="0" xfId="0" applyNumberFormat="1" applyFont="1"/>
    <xf numFmtId="14" fontId="31" fillId="0" borderId="0" xfId="0" applyNumberFormat="1" applyFont="1" applyAlignment="1">
      <alignment horizontal="right"/>
    </xf>
    <xf numFmtId="164" fontId="31" fillId="0" borderId="0" xfId="8" applyNumberFormat="1" applyFont="1" applyBorder="1" applyAlignment="1">
      <alignment horizontal="center"/>
    </xf>
    <xf numFmtId="42" fontId="31" fillId="0" borderId="0" xfId="8" applyNumberFormat="1" applyFont="1" applyAlignment="1">
      <alignment horizontal="right"/>
    </xf>
    <xf numFmtId="166" fontId="0" fillId="0" borderId="0" xfId="0" applyNumberFormat="1"/>
    <xf numFmtId="164" fontId="4" fillId="0" borderId="11" xfId="8" applyNumberFormat="1" applyFont="1" applyFill="1" applyBorder="1" applyAlignment="1">
      <alignment horizontal="right"/>
    </xf>
    <xf numFmtId="42" fontId="4" fillId="0" borderId="11" xfId="8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left"/>
    </xf>
    <xf numFmtId="0" fontId="11" fillId="0" borderId="11" xfId="0" applyFont="1" applyBorder="1" applyAlignment="1">
      <alignment horizontal="center"/>
    </xf>
    <xf numFmtId="42" fontId="5" fillId="0" borderId="0" xfId="8" applyNumberFormat="1" applyFont="1" applyFill="1" applyAlignment="1">
      <alignment horizontal="right"/>
    </xf>
    <xf numFmtId="44" fontId="4" fillId="0" borderId="11" xfId="0" applyNumberFormat="1" applyFont="1" applyBorder="1" applyAlignment="1">
      <alignment horizontal="center"/>
    </xf>
    <xf numFmtId="168" fontId="5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7" fontId="5" fillId="0" borderId="19" xfId="0" applyNumberFormat="1" applyFont="1" applyBorder="1" applyAlignment="1">
      <alignment horizontal="right"/>
    </xf>
    <xf numFmtId="44" fontId="5" fillId="0" borderId="12" xfId="0" applyNumberFormat="1" applyFont="1" applyBorder="1"/>
    <xf numFmtId="0" fontId="32" fillId="0" borderId="0" xfId="0" applyFont="1"/>
    <xf numFmtId="164" fontId="5" fillId="0" borderId="11" xfId="8" applyNumberFormat="1" applyFont="1" applyFill="1" applyBorder="1" applyAlignment="1">
      <alignment horizontal="center"/>
    </xf>
    <xf numFmtId="44" fontId="5" fillId="0" borderId="11" xfId="8" applyNumberFormat="1" applyFont="1" applyFill="1" applyBorder="1" applyAlignment="1">
      <alignment horizontal="center"/>
    </xf>
    <xf numFmtId="14" fontId="5" fillId="0" borderId="11" xfId="0" applyNumberFormat="1" applyFont="1" applyBorder="1"/>
    <xf numFmtId="0" fontId="32" fillId="0" borderId="11" xfId="0" applyFont="1" applyBorder="1"/>
    <xf numFmtId="0" fontId="1" fillId="0" borderId="11" xfId="0" applyFont="1" applyBorder="1"/>
    <xf numFmtId="168" fontId="5" fillId="0" borderId="11" xfId="8" applyNumberFormat="1" applyFont="1" applyFill="1" applyBorder="1" applyAlignment="1">
      <alignment horizontal="right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tabSelected="1" zoomScale="110" zoomScaleNormal="110" workbookViewId="0">
      <selection activeCell="C3" sqref="C3"/>
    </sheetView>
  </sheetViews>
  <sheetFormatPr defaultColWidth="9.125" defaultRowHeight="12"/>
  <cols>
    <col min="1" max="1" width="37.25" style="13" customWidth="1"/>
    <col min="2" max="2" width="19.75" style="34" bestFit="1" customWidth="1"/>
    <col min="3" max="3" width="15.125" style="13" bestFit="1" customWidth="1"/>
    <col min="4" max="4" width="14.125" style="34" bestFit="1" customWidth="1"/>
    <col min="5" max="5" width="14.375" style="34" bestFit="1" customWidth="1"/>
    <col min="6" max="6" width="17.375" style="13" customWidth="1"/>
    <col min="7" max="7" width="14.125" style="13" bestFit="1" customWidth="1"/>
    <col min="8" max="8" width="15.25" style="13" bestFit="1" customWidth="1"/>
    <col min="9" max="9" width="15.375" style="13" bestFit="1" customWidth="1"/>
    <col min="10" max="10" width="16.25" style="13" customWidth="1"/>
    <col min="11" max="11" width="14" style="13" bestFit="1" customWidth="1"/>
    <col min="12" max="15" width="9.125" style="13"/>
    <col min="16" max="16" width="16.25" style="13" bestFit="1" customWidth="1"/>
    <col min="17" max="17" width="13.875" style="13" bestFit="1" customWidth="1"/>
    <col min="18" max="18" width="11.625" style="13" bestFit="1" customWidth="1"/>
    <col min="19" max="16384" width="9.125" style="13"/>
  </cols>
  <sheetData>
    <row r="1" spans="1:18">
      <c r="A1" s="223"/>
      <c r="B1" s="157"/>
      <c r="C1" s="50"/>
      <c r="F1" s="50"/>
      <c r="H1" s="104"/>
    </row>
    <row r="2" spans="1:18">
      <c r="G2" s="149"/>
      <c r="H2" s="10"/>
    </row>
    <row r="3" spans="1:18" s="1" customFormat="1">
      <c r="A3" s="43" t="s">
        <v>391</v>
      </c>
      <c r="B3" s="13"/>
      <c r="C3" s="7">
        <v>43846</v>
      </c>
      <c r="D3" s="146"/>
      <c r="E3" s="499"/>
      <c r="F3" s="499"/>
      <c r="G3" s="220"/>
      <c r="H3" s="219"/>
      <c r="I3" s="85"/>
    </row>
    <row r="4" spans="1:18" s="1" customFormat="1">
      <c r="A4" s="223"/>
      <c r="B4" s="13"/>
      <c r="D4" s="6"/>
      <c r="E4" s="499"/>
      <c r="F4" s="499"/>
      <c r="G4" s="49"/>
      <c r="H4" s="53"/>
    </row>
    <row r="5" spans="1:18" s="1" customFormat="1">
      <c r="A5" s="223"/>
      <c r="B5" s="104">
        <f>SUM(C5:I5)</f>
        <v>1</v>
      </c>
      <c r="C5" s="15">
        <v>0.32250000000000001</v>
      </c>
      <c r="D5" s="15">
        <v>0.1</v>
      </c>
      <c r="E5" s="15">
        <v>0.02</v>
      </c>
      <c r="F5" s="222">
        <v>2.6249999999999999E-2</v>
      </c>
      <c r="G5" s="221">
        <v>5.2499999999999998E-2</v>
      </c>
      <c r="H5" s="221">
        <v>0.18375</v>
      </c>
      <c r="I5" s="129">
        <v>0.29499999999999998</v>
      </c>
    </row>
    <row r="6" spans="1:18" s="1" customFormat="1">
      <c r="A6" s="223"/>
      <c r="B6" s="50"/>
      <c r="C6" s="81" t="s">
        <v>56</v>
      </c>
      <c r="D6" s="81" t="s">
        <v>57</v>
      </c>
      <c r="E6" s="81" t="s">
        <v>58</v>
      </c>
      <c r="F6" s="81" t="s">
        <v>59</v>
      </c>
      <c r="G6" s="81" t="s">
        <v>59</v>
      </c>
      <c r="H6" s="81" t="s">
        <v>59</v>
      </c>
      <c r="I6" s="81" t="s">
        <v>60</v>
      </c>
      <c r="J6" s="367" t="s">
        <v>226</v>
      </c>
      <c r="O6" s="384" t="s">
        <v>243</v>
      </c>
      <c r="P6" s="385" t="s">
        <v>245</v>
      </c>
    </row>
    <row r="7" spans="1:18" s="1" customFormat="1">
      <c r="A7" s="43"/>
      <c r="B7" s="93" t="s">
        <v>15</v>
      </c>
      <c r="C7" s="94" t="s">
        <v>33</v>
      </c>
      <c r="D7" s="92" t="s">
        <v>25</v>
      </c>
      <c r="E7" s="92" t="s">
        <v>3</v>
      </c>
      <c r="F7" s="95" t="s">
        <v>52</v>
      </c>
      <c r="G7" s="95" t="s">
        <v>13</v>
      </c>
      <c r="H7" s="95" t="s">
        <v>20</v>
      </c>
      <c r="I7" s="93" t="s">
        <v>16</v>
      </c>
      <c r="J7" s="368" t="s">
        <v>223</v>
      </c>
      <c r="O7" s="386" t="s">
        <v>244</v>
      </c>
      <c r="P7" s="387" t="s">
        <v>246</v>
      </c>
    </row>
    <row r="8" spans="1:18" s="1" customFormat="1">
      <c r="A8" s="155" t="s">
        <v>392</v>
      </c>
      <c r="B8" s="347">
        <f>30029572*120</f>
        <v>3603548640</v>
      </c>
      <c r="C8" s="348">
        <f>ROUND(C5*$B$8,0)</f>
        <v>1162144436</v>
      </c>
      <c r="D8" s="348">
        <f>ROUND(D5*$B$8,0)</f>
        <v>360354864</v>
      </c>
      <c r="E8" s="348">
        <f>ROUND(E5*$B$8,0)</f>
        <v>72070973</v>
      </c>
      <c r="F8" s="348">
        <f>ROUND(F5*$B$8,0)</f>
        <v>94593152</v>
      </c>
      <c r="G8" s="348">
        <f>ROUND(G5*$B$8,0)</f>
        <v>189186304</v>
      </c>
      <c r="H8" s="348">
        <f>ROUND(H5*$B$8,0)-1</f>
        <v>662152062</v>
      </c>
      <c r="I8" s="349">
        <f>ROUND(I5*$B$8,0)</f>
        <v>1063046849</v>
      </c>
      <c r="J8" s="369">
        <f>'Aug 15'!E1</f>
        <v>1265593961.4299998</v>
      </c>
      <c r="K8" s="9"/>
      <c r="O8" s="90" t="s">
        <v>230</v>
      </c>
      <c r="P8" s="388">
        <v>2.9717172510821135E-2</v>
      </c>
      <c r="Q8" s="85"/>
      <c r="R8" s="9"/>
    </row>
    <row r="9" spans="1:18" s="1" customFormat="1">
      <c r="A9" s="43"/>
      <c r="B9" s="143"/>
      <c r="C9" s="64"/>
      <c r="D9" s="64"/>
      <c r="E9" s="64"/>
      <c r="F9" s="64"/>
      <c r="G9" s="64"/>
      <c r="H9" s="64"/>
      <c r="I9" s="350"/>
      <c r="J9" s="370"/>
      <c r="O9" s="90" t="s">
        <v>231</v>
      </c>
      <c r="P9" s="388">
        <v>1.8840984227241904E-2</v>
      </c>
      <c r="Q9" s="85"/>
      <c r="R9" s="359"/>
    </row>
    <row r="10" spans="1:18" s="1" customFormat="1">
      <c r="A10" s="43" t="s">
        <v>67</v>
      </c>
      <c r="B10" s="143">
        <f>SUM(C10:J10)</f>
        <v>7535299282.5200005</v>
      </c>
      <c r="C10" s="64">
        <f>'SC1 MRB'!$J$30</f>
        <v>1907844436</v>
      </c>
      <c r="D10" s="64">
        <f>+'SC2 State Voted'!H9</f>
        <v>200000000</v>
      </c>
      <c r="E10" s="64">
        <f>+'SC3 Small Issue IDBs'!H11</f>
        <v>10000000</v>
      </c>
      <c r="F10" s="64">
        <f>'SC4 TSAHC'!H16</f>
        <v>145000000</v>
      </c>
      <c r="G10" s="64">
        <f>+'SC4 MF- TDHCA'!H22</f>
        <v>243160000</v>
      </c>
      <c r="H10" s="351">
        <f>'REGION 1'!H12+'REGION 2'!H9+'REGION 3'!H26+'REGION 4'!H10+'REGION 5'!H10+'REGION 6'!H32+'REGION 7'!H26+'REGION 8'!H9+'REGION 9'!H15+'REGION 10'!H9+'REGION 11'!H11+'REGION 12'!H9+'REGION 13'!H10+'SC4 MF- Local Collapse'!H44</f>
        <v>1068125000</v>
      </c>
      <c r="I10" s="350">
        <f>'SC5 OTHER'!$H$100</f>
        <v>2144486141.79</v>
      </c>
      <c r="J10" s="371">
        <f>'Aug 15'!H49</f>
        <v>1816683704.73</v>
      </c>
      <c r="K10" s="2"/>
      <c r="O10" s="90" t="s">
        <v>232</v>
      </c>
      <c r="P10" s="388">
        <v>0.27601652467507426</v>
      </c>
      <c r="Q10" s="85"/>
      <c r="R10" s="9"/>
    </row>
    <row r="11" spans="1:18" s="1" customFormat="1">
      <c r="B11" s="143"/>
      <c r="C11" s="64"/>
      <c r="D11" s="64"/>
      <c r="E11" s="64"/>
      <c r="F11" s="64"/>
      <c r="G11" s="64"/>
      <c r="H11" s="64"/>
      <c r="I11" s="350"/>
      <c r="J11" s="370"/>
      <c r="K11" s="2"/>
      <c r="O11" s="90" t="s">
        <v>233</v>
      </c>
      <c r="P11" s="388">
        <v>3.9456959143442528E-2</v>
      </c>
      <c r="Q11" s="85"/>
      <c r="R11" s="9"/>
    </row>
    <row r="12" spans="1:18" s="1" customFormat="1">
      <c r="A12" s="1" t="s">
        <v>64</v>
      </c>
      <c r="B12" s="143">
        <f>SUM(C12:J12)</f>
        <v>7242153809.4700003</v>
      </c>
      <c r="C12" s="64">
        <f>'SC1 MRB'!$K$30</f>
        <v>1907844436</v>
      </c>
      <c r="D12" s="64">
        <f>+'SC2 State Voted'!I9</f>
        <v>200000000</v>
      </c>
      <c r="E12" s="64">
        <f>+'SC3 Small Issue IDBs'!I11</f>
        <v>10000000</v>
      </c>
      <c r="F12" s="64">
        <f>'SC4 TSAHC'!I16</f>
        <v>145000000</v>
      </c>
      <c r="G12" s="64">
        <f>'SC4 MF- TDHCA'!I22</f>
        <v>243160000</v>
      </c>
      <c r="H12" s="64">
        <f>'REGION 1'!I12+'REGION 2'!I9+'REGION 3'!I26+'REGION 4'!I10+'REGION 5'!I10+'REGION 6'!I32+'REGION 7'!I26+'REGION 8'!I9+'REGION 9'!I15+'REGION 10'!I9+'REGION 11'!I11+'REGION 12'!I9+'REGION 13'!I10+'SC4 MF- Local Collapse'!I44</f>
        <v>1068125000</v>
      </c>
      <c r="I12" s="350">
        <f>'SC5 OTHER'!$I$100</f>
        <v>2144486141.79</v>
      </c>
      <c r="J12" s="372">
        <f>'Aug 15'!K49</f>
        <v>1523538231.6800001</v>
      </c>
      <c r="K12" s="2"/>
      <c r="O12" s="90" t="s">
        <v>234</v>
      </c>
      <c r="P12" s="388">
        <v>2.6372334258747618E-2</v>
      </c>
      <c r="Q12" s="85"/>
      <c r="R12" s="359"/>
    </row>
    <row r="13" spans="1:18" s="1" customFormat="1">
      <c r="B13" s="143"/>
      <c r="C13" s="64"/>
      <c r="D13" s="64"/>
      <c r="E13" s="64"/>
      <c r="F13" s="64"/>
      <c r="G13" s="64"/>
      <c r="H13" s="64"/>
      <c r="I13" s="350"/>
      <c r="J13" s="370"/>
      <c r="K13" s="9"/>
      <c r="O13" s="90" t="s">
        <v>235</v>
      </c>
      <c r="P13" s="388">
        <v>0.25036526215620558</v>
      </c>
      <c r="Q13" s="85"/>
      <c r="R13" s="9"/>
    </row>
    <row r="14" spans="1:18" s="1" customFormat="1">
      <c r="A14" s="1" t="s">
        <v>63</v>
      </c>
      <c r="B14" s="143">
        <f>SUM(C14:J14)</f>
        <v>6524006842.1700001</v>
      </c>
      <c r="C14" s="64">
        <f>'SC1 MRB'!N30</f>
        <v>1665616178.05</v>
      </c>
      <c r="D14" s="64">
        <f>'SC2 State Voted'!L9</f>
        <v>200000000</v>
      </c>
      <c r="E14" s="64">
        <f>'SC3 Small Issue IDBs'!L11</f>
        <v>10000000</v>
      </c>
      <c r="F14" s="64">
        <f>'SC4 TSAHC'!L16</f>
        <v>145000000</v>
      </c>
      <c r="G14" s="64">
        <f>'SC4 MF- TDHCA'!L22</f>
        <v>243160000</v>
      </c>
      <c r="H14" s="64">
        <f>'REGION 1'!L12+'REGION 2'!L9+'REGION 3'!L26+'REGION 4'!L10+'REGION 5'!L10+'REGION 6'!L32+'REGION 7'!L26+'REGION 8'!L9+'REGION 9'!L15+'REGION 10'!L9+'REGION 11'!L11+'REGION 12'!L9+'REGION 13'!L10+'SC4 MF- Local Collapse'!L44</f>
        <v>972000000</v>
      </c>
      <c r="I14" s="350">
        <f>'SC5 OTHER'!L100</f>
        <v>1899465488.79</v>
      </c>
      <c r="J14" s="372">
        <f>'Aug 15'!N49</f>
        <v>1388765175.3300002</v>
      </c>
      <c r="O14" s="90" t="s">
        <v>236</v>
      </c>
      <c r="P14" s="388">
        <v>8.2586697331200817E-2</v>
      </c>
      <c r="Q14" s="85"/>
      <c r="R14" s="9"/>
    </row>
    <row r="15" spans="1:18" s="1" customFormat="1">
      <c r="B15" s="143"/>
      <c r="C15" s="64"/>
      <c r="D15" s="64"/>
      <c r="E15" s="64"/>
      <c r="F15" s="64"/>
      <c r="G15" s="64"/>
      <c r="H15" s="64"/>
      <c r="I15" s="350"/>
      <c r="J15" s="370"/>
      <c r="K15" s="9"/>
      <c r="O15" s="90" t="s">
        <v>237</v>
      </c>
      <c r="P15" s="388">
        <v>4.3034457629058068E-2</v>
      </c>
      <c r="Q15" s="85"/>
      <c r="R15" s="9"/>
    </row>
    <row r="16" spans="1:18" s="1" customFormat="1">
      <c r="A16" s="1" t="s">
        <v>65</v>
      </c>
      <c r="B16" s="143">
        <f>SUM(C16:J16)</f>
        <v>1199810242.5700002</v>
      </c>
      <c r="C16" s="64">
        <f>'SC1 MRB'!$P$30</f>
        <v>24000000</v>
      </c>
      <c r="D16" s="64">
        <f>+'SC2 State Voted'!N9</f>
        <v>141477004.5</v>
      </c>
      <c r="E16" s="64">
        <f>+'SC3 Small Issue IDBs'!N11</f>
        <v>0</v>
      </c>
      <c r="F16" s="64">
        <f>'SC4 TSAHC'!N16</f>
        <v>69998331</v>
      </c>
      <c r="G16" s="64">
        <f>+'SC4 MF- TDHCA'!N22</f>
        <v>118195968.05000001</v>
      </c>
      <c r="H16" s="64">
        <f>'REGION 1'!N12+'REGION 2'!N9+'REGION 3'!N26+'REGION 4'!N10+'REGION 5'!N10+'REGION 6'!N32+'REGION 7'!N26+'REGION 8'!N9+'REGION 9'!N15+'REGION 10'!N9+'REGION 11'!N11+'REGION 12'!N9+'REGION 13'!N10+'SC4 MF- Local Collapse'!N44</f>
        <v>397507731.35000002</v>
      </c>
      <c r="I16" s="350">
        <f>'SC5 OTHER'!N100</f>
        <v>448631207.66999996</v>
      </c>
      <c r="J16" s="372">
        <f>'Aug 15'!P49</f>
        <v>0</v>
      </c>
      <c r="K16" s="2"/>
      <c r="O16" s="90" t="s">
        <v>238</v>
      </c>
      <c r="P16" s="388">
        <v>9.1628571884412369E-2</v>
      </c>
      <c r="Q16" s="85"/>
      <c r="R16" s="9"/>
    </row>
    <row r="17" spans="1:18" s="1" customFormat="1">
      <c r="B17" s="143"/>
      <c r="C17" s="64"/>
      <c r="D17" s="64"/>
      <c r="E17" s="64"/>
      <c r="F17" s="64"/>
      <c r="G17" s="64"/>
      <c r="H17" s="64"/>
      <c r="I17" s="350"/>
      <c r="J17" s="370"/>
      <c r="K17" s="85"/>
      <c r="O17" s="90" t="s">
        <v>239</v>
      </c>
      <c r="P17" s="388">
        <v>2.66220468645165E-2</v>
      </c>
      <c r="Q17" s="85"/>
      <c r="R17" s="9"/>
    </row>
    <row r="18" spans="1:18" s="1" customFormat="1">
      <c r="A18" s="1" t="s">
        <v>50</v>
      </c>
      <c r="B18" s="143">
        <f>SUM(C18:J18)</f>
        <v>3920181372.2699995</v>
      </c>
      <c r="C18" s="64">
        <f>'SC1 MRB'!$Q$30</f>
        <v>745700000</v>
      </c>
      <c r="D18" s="64">
        <f>+'SC2 State Voted'!O9</f>
        <v>58522995.5</v>
      </c>
      <c r="E18" s="64">
        <f>+'SC3 Small Issue IDBs'!O11</f>
        <v>10000000</v>
      </c>
      <c r="F18" s="64">
        <f>'SC4 TSAHC'!O16</f>
        <v>75001669</v>
      </c>
      <c r="G18" s="64">
        <f>+'SC4 MF- TDHCA'!O22</f>
        <v>124964031.94999999</v>
      </c>
      <c r="H18" s="64">
        <f>'REGION 1'!O12+'REGION 2'!O9+'REGION 3'!O26+'REGION 4'!O10+'REGION 5'!O10+'REGION 6'!O32+'REGION 7'!O26+'REGION 8'!O9+'REGION 9'!O15+'REGION 10'!O9+'REGION 11'!O11+'REGION 12'!O9+'REGION 13'!O10+'SC4 MF- Local Collapse'!O44</f>
        <v>670617268.64999998</v>
      </c>
      <c r="I18" s="350">
        <f>'SC5 OTHER'!O100</f>
        <v>1695854934.1199999</v>
      </c>
      <c r="J18" s="372">
        <f>'Aug 15'!Q49</f>
        <v>539520473.04999995</v>
      </c>
      <c r="O18" s="90" t="s">
        <v>240</v>
      </c>
      <c r="P18" s="388">
        <v>6.2651787985831778E-2</v>
      </c>
      <c r="Q18" s="85"/>
      <c r="R18" s="9"/>
    </row>
    <row r="19" spans="1:18" s="1" customFormat="1">
      <c r="A19" s="43"/>
      <c r="B19" s="143"/>
      <c r="C19" s="64"/>
      <c r="D19" s="64"/>
      <c r="E19" s="64"/>
      <c r="F19" s="64"/>
      <c r="G19" s="64"/>
      <c r="H19" s="64"/>
      <c r="I19" s="350"/>
      <c r="J19" s="370"/>
      <c r="O19" s="90" t="s">
        <v>241</v>
      </c>
      <c r="P19" s="388">
        <v>2.2214677700729494E-2</v>
      </c>
      <c r="Q19" s="85"/>
      <c r="R19" s="9"/>
    </row>
    <row r="20" spans="1:18" s="1" customFormat="1">
      <c r="A20" s="43" t="s">
        <v>29</v>
      </c>
      <c r="B20" s="143">
        <f>SUM(C20:J20)</f>
        <v>293145473.04999995</v>
      </c>
      <c r="C20" s="64">
        <f>+C10-C12</f>
        <v>0</v>
      </c>
      <c r="D20" s="64">
        <f t="shared" ref="D20:F20" si="0">+D10-D12</f>
        <v>0</v>
      </c>
      <c r="E20" s="64">
        <f t="shared" si="0"/>
        <v>0</v>
      </c>
      <c r="F20" s="64">
        <f t="shared" si="0"/>
        <v>0</v>
      </c>
      <c r="G20" s="64">
        <f>+G10-G12</f>
        <v>0</v>
      </c>
      <c r="H20" s="64">
        <f>+H10-H12</f>
        <v>0</v>
      </c>
      <c r="I20" s="350">
        <f>+I10-I12</f>
        <v>0</v>
      </c>
      <c r="J20" s="372">
        <f>'Aug 15'!H51</f>
        <v>293145473.04999995</v>
      </c>
      <c r="O20" s="389" t="s">
        <v>242</v>
      </c>
      <c r="P20" s="390">
        <v>3.0492523632717979E-2</v>
      </c>
      <c r="Q20" s="85"/>
      <c r="R20" s="9"/>
    </row>
    <row r="21" spans="1:18" s="1" customFormat="1">
      <c r="A21" s="43"/>
      <c r="B21" s="143"/>
      <c r="C21" s="64"/>
      <c r="D21" s="64"/>
      <c r="E21" s="64"/>
      <c r="F21" s="64"/>
      <c r="G21" s="64"/>
      <c r="H21" s="64"/>
      <c r="I21" s="350"/>
      <c r="J21" s="370"/>
      <c r="Q21" s="85"/>
      <c r="R21" s="9"/>
    </row>
    <row r="22" spans="1:18" s="1" customFormat="1">
      <c r="A22" s="48" t="s">
        <v>393</v>
      </c>
      <c r="B22" s="448">
        <f>'Aug 15'!H53</f>
        <v>409376202.79999971</v>
      </c>
      <c r="C22" s="87">
        <f>+C8-C12+C18+'SC1 MRB'!G39</f>
        <v>0</v>
      </c>
      <c r="D22" s="87">
        <f>+D8-D12+D18+'SC2 State Voted'!G17</f>
        <v>218877859.5</v>
      </c>
      <c r="E22" s="87">
        <f>+E8-E12+E18+'SC3 Small Issue IDBs'!G19</f>
        <v>72070973</v>
      </c>
      <c r="F22" s="87">
        <f>+F8-F12+F18+'SC4 TSAHC'!G24</f>
        <v>24594821</v>
      </c>
      <c r="G22" s="87">
        <f>+G8-G12+G18+'SC4 MF- TDHCA'!G35</f>
        <v>70990335.949999988</v>
      </c>
      <c r="H22" s="87">
        <f>H8-H12+H18+SUM('REGION 1'!G21+'REGION 2'!G16+'REGION 3'!G36+'REGION 4'!G17+'REGION 5'!G16+'REGION 6'!G40+'REGION 7'!G35+'REGION 8'!G17+'REGION 9'!G22+'REGION 10'!G16+'REGION 11'!G18+'REGION 12'!G16+'REGION 13'!G17+'SC4 MF- Local Collapse'!G53)</f>
        <v>264644330.64999998</v>
      </c>
      <c r="I22" s="352">
        <f>+I8-I12+I18+'SC5 OTHER'!G110</f>
        <v>614415641.32999992</v>
      </c>
      <c r="J22" s="381">
        <f>J8-J12+J18+'Aug 15'!G66</f>
        <v>409376202.79999971</v>
      </c>
    </row>
    <row r="23" spans="1:18" s="1" customFormat="1">
      <c r="A23" s="48"/>
      <c r="B23" s="345"/>
      <c r="C23" s="64"/>
      <c r="D23" s="64"/>
      <c r="E23" s="64"/>
      <c r="F23" s="64"/>
      <c r="G23" s="64"/>
      <c r="H23" s="64"/>
      <c r="I23" s="350"/>
    </row>
    <row r="24" spans="1:18" s="1" customFormat="1">
      <c r="A24" s="48"/>
      <c r="B24" s="143"/>
      <c r="C24" s="64"/>
      <c r="D24" s="64"/>
      <c r="E24" s="64"/>
      <c r="F24" s="64"/>
      <c r="G24" s="64"/>
      <c r="H24" s="64"/>
      <c r="I24" s="350"/>
    </row>
    <row r="25" spans="1:18">
      <c r="A25" s="13" t="s">
        <v>197</v>
      </c>
      <c r="B25" s="346">
        <f>SUM(C25:I25)</f>
        <v>65002648</v>
      </c>
      <c r="C25" s="84">
        <v>0</v>
      </c>
      <c r="D25" s="64">
        <v>0</v>
      </c>
      <c r="E25" s="64" t="s">
        <v>147</v>
      </c>
      <c r="F25" s="64">
        <v>0</v>
      </c>
      <c r="G25" s="64">
        <v>0</v>
      </c>
      <c r="H25" s="64">
        <f>'2020 CF'!M22+'2020 CF'!M23</f>
        <v>45000000</v>
      </c>
      <c r="I25" s="350">
        <f>'2020 CF'!M30+'2020 CF'!M21+'2020 CF'!M6+'2020 CF'!M24+'2020 CF'!M25</f>
        <v>20002648</v>
      </c>
    </row>
    <row r="26" spans="1:18">
      <c r="A26" s="13" t="s">
        <v>327</v>
      </c>
      <c r="B26" s="346">
        <f>SUM(C26:I26)</f>
        <v>72896025.790000007</v>
      </c>
      <c r="C26" s="64">
        <f>'2021 CF'!M26</f>
        <v>0</v>
      </c>
      <c r="D26" s="64">
        <v>0</v>
      </c>
      <c r="E26" s="64" t="s">
        <v>147</v>
      </c>
      <c r="F26" s="64">
        <v>0</v>
      </c>
      <c r="G26" s="64">
        <v>0</v>
      </c>
      <c r="H26" s="64">
        <f>'2021 CF'!M6+'2021 CF'!M7+'2021 CF'!M8+'2021 CF'!M32+'2021 CF'!M33+'2021 CF'!M34</f>
        <v>36351050.400000006</v>
      </c>
      <c r="I26" s="350">
        <f>'2021 CF'!M39+'2021 CF'!M31</f>
        <v>36544975.390000001</v>
      </c>
    </row>
    <row r="27" spans="1:18">
      <c r="A27" s="13" t="s">
        <v>394</v>
      </c>
      <c r="B27" s="346">
        <f>SUM(C27:I27)</f>
        <v>187790198.31</v>
      </c>
      <c r="C27" s="64">
        <f>'2022 CF'!M57</f>
        <v>14224036.599999994</v>
      </c>
      <c r="D27" s="64">
        <v>0</v>
      </c>
      <c r="E27" s="64" t="s">
        <v>147</v>
      </c>
      <c r="F27" s="64">
        <f>'2022 CF'!M64+'2022 CF'!M67</f>
        <v>0</v>
      </c>
      <c r="G27" s="64">
        <v>0</v>
      </c>
      <c r="H27" s="64">
        <f>'2022 CF'!M62+'2022 CF'!M63+SUM('2022 CF'!M68:M77)+SUM('2022 CF'!M79:M82)+'2022 CF'!M11</f>
        <v>55000318.549999997</v>
      </c>
      <c r="I27" s="350">
        <f>'2022 CF'!M89+'2022 CF'!M61+'2022 CF'!M65+'2022 CF'!M66+'2022 CF'!M78+'2022 CF'!M83+'2022 CF'!M84</f>
        <v>118565843.16</v>
      </c>
    </row>
    <row r="28" spans="1:18">
      <c r="B28" s="143"/>
      <c r="C28" s="64"/>
      <c r="D28" s="64"/>
      <c r="E28" s="64"/>
      <c r="F28" s="64"/>
      <c r="G28" s="64"/>
      <c r="H28" s="64"/>
      <c r="I28" s="350"/>
    </row>
    <row r="29" spans="1:18" ht="12" customHeight="1">
      <c r="B29" s="353">
        <f>SUM(B22:B28)</f>
        <v>735065074.89999962</v>
      </c>
      <c r="C29" s="397">
        <f>SUM(C22:C28)</f>
        <v>14224036.599999994</v>
      </c>
      <c r="D29" s="88">
        <f t="shared" ref="D29:I29" si="1">SUM(D22:D28)</f>
        <v>218877859.5</v>
      </c>
      <c r="E29" s="88">
        <f t="shared" si="1"/>
        <v>72070973</v>
      </c>
      <c r="F29" s="88">
        <f t="shared" si="1"/>
        <v>24594821</v>
      </c>
      <c r="G29" s="88">
        <f t="shared" si="1"/>
        <v>70990335.949999988</v>
      </c>
      <c r="H29" s="88">
        <f>SUM(H22:H28)</f>
        <v>400995699.59999996</v>
      </c>
      <c r="I29" s="354">
        <f t="shared" si="1"/>
        <v>789529107.87999988</v>
      </c>
    </row>
    <row r="30" spans="1:18">
      <c r="B30" s="10"/>
      <c r="C30" s="10"/>
      <c r="D30" s="10"/>
      <c r="E30" s="10"/>
      <c r="F30" s="10"/>
      <c r="H30" s="10"/>
      <c r="I30" s="10"/>
    </row>
    <row r="31" spans="1:18" ht="15.6">
      <c r="A31" s="15"/>
      <c r="B31" s="416"/>
      <c r="C31" s="416"/>
      <c r="D31" s="11"/>
      <c r="E31" s="10"/>
      <c r="F31" s="10"/>
      <c r="G31" s="414"/>
      <c r="H31" s="505"/>
      <c r="I31" s="414"/>
    </row>
    <row r="32" spans="1:18" ht="15.6">
      <c r="B32" s="416"/>
      <c r="C32" s="416"/>
      <c r="D32" s="11"/>
      <c r="E32" s="12"/>
      <c r="F32" s="10"/>
      <c r="G32" s="10"/>
      <c r="H32" s="10"/>
      <c r="I32" s="10"/>
    </row>
    <row r="33" spans="1:16" ht="15.6">
      <c r="B33" s="416"/>
      <c r="C33" s="416"/>
      <c r="D33" s="35"/>
      <c r="E33" s="12"/>
      <c r="F33" s="179"/>
      <c r="G33" s="58"/>
      <c r="H33" s="58"/>
      <c r="I33" s="154"/>
    </row>
    <row r="34" spans="1:16" ht="15.6">
      <c r="A34" s="463" t="s">
        <v>598</v>
      </c>
      <c r="B34" s="464">
        <f>ROUND(0.017*$B$8,0)-1</f>
        <v>61260326</v>
      </c>
      <c r="C34" s="416"/>
      <c r="D34" s="419"/>
      <c r="E34" s="58"/>
      <c r="F34" s="513"/>
      <c r="G34" s="58"/>
      <c r="H34" s="12"/>
      <c r="I34" s="513"/>
    </row>
    <row r="35" spans="1:16" ht="15.6">
      <c r="A35" s="463" t="s">
        <v>599</v>
      </c>
      <c r="B35" s="464">
        <f>ROUND(0.034*$B$8,0)-1</f>
        <v>122520653</v>
      </c>
      <c r="C35" s="416"/>
      <c r="D35" s="425"/>
      <c r="E35" s="586"/>
      <c r="F35" s="211"/>
      <c r="G35" s="586"/>
      <c r="H35" s="211"/>
      <c r="I35" s="571"/>
    </row>
    <row r="36" spans="1:16" ht="15.6">
      <c r="B36" s="416"/>
      <c r="C36" s="416"/>
      <c r="D36" s="13"/>
      <c r="E36" s="211"/>
      <c r="F36" s="211"/>
      <c r="G36" s="211"/>
      <c r="H36" s="211"/>
      <c r="I36" s="11"/>
    </row>
    <row r="37" spans="1:16" ht="15.6">
      <c r="B37" s="416"/>
      <c r="C37" s="445"/>
      <c r="D37" s="444"/>
      <c r="E37" s="54"/>
      <c r="F37" s="571"/>
      <c r="G37" s="54"/>
      <c r="H37" s="444"/>
      <c r="I37" s="444"/>
      <c r="J37" s="444"/>
      <c r="K37" s="444"/>
      <c r="L37" s="444"/>
      <c r="M37" s="444"/>
      <c r="N37" s="444"/>
      <c r="O37" s="444"/>
      <c r="P37" s="444"/>
    </row>
    <row r="38" spans="1:16" ht="15.6">
      <c r="B38" s="416"/>
      <c r="C38" s="416"/>
      <c r="D38" s="13"/>
      <c r="E38" s="13"/>
      <c r="F38" s="11"/>
    </row>
    <row r="39" spans="1:16">
      <c r="B39" s="50"/>
      <c r="C39" s="98"/>
      <c r="D39" s="13"/>
      <c r="E39" s="13"/>
      <c r="F39" s="513"/>
      <c r="H39" s="10"/>
    </row>
    <row r="40" spans="1:16">
      <c r="B40" s="82"/>
      <c r="D40" s="101"/>
      <c r="E40" s="13"/>
      <c r="F40" s="12"/>
    </row>
    <row r="41" spans="1:16">
      <c r="B41" s="198"/>
      <c r="D41" s="80"/>
      <c r="E41" s="13"/>
      <c r="F41" s="12"/>
      <c r="H41" s="98"/>
    </row>
    <row r="42" spans="1:16" ht="13.2">
      <c r="B42" s="13"/>
      <c r="C42" s="102"/>
      <c r="D42" s="80"/>
      <c r="E42" s="13"/>
    </row>
    <row r="43" spans="1:16" ht="13.2">
      <c r="C43" s="103"/>
      <c r="D43" s="80"/>
      <c r="E43" s="13"/>
    </row>
    <row r="44" spans="1:16">
      <c r="B44"/>
      <c r="C44" s="82"/>
      <c r="D44" s="80"/>
      <c r="E44" s="13"/>
    </row>
    <row r="45" spans="1:16">
      <c r="B45" s="13"/>
      <c r="D45" s="13"/>
      <c r="E45" s="13"/>
    </row>
    <row r="46" spans="1:16">
      <c r="B46" s="13"/>
      <c r="D46" s="80"/>
      <c r="E46" s="13"/>
    </row>
    <row r="47" spans="1:16">
      <c r="B47" s="13"/>
      <c r="D47" s="13"/>
      <c r="E47" s="13"/>
      <c r="H47" s="80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50"/>
      <c r="D54" s="13"/>
      <c r="E54" s="13"/>
    </row>
    <row r="55" spans="2:7">
      <c r="B55" s="62"/>
      <c r="D55" s="13"/>
      <c r="E55" s="13"/>
    </row>
    <row r="56" spans="2:7">
      <c r="B56" s="50"/>
      <c r="D56" s="13"/>
      <c r="E56" s="13"/>
    </row>
    <row r="57" spans="2:7">
      <c r="B57" s="50"/>
      <c r="D57" s="13"/>
      <c r="E57" s="13"/>
    </row>
    <row r="58" spans="2:7">
      <c r="B58" s="13"/>
      <c r="D58" s="13"/>
      <c r="E58" s="13"/>
      <c r="F58" s="82"/>
      <c r="G58" s="82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80"/>
      <c r="G74" s="80"/>
    </row>
    <row r="75" spans="2:9">
      <c r="B75" s="13"/>
      <c r="D75" s="62"/>
      <c r="E75" s="62"/>
      <c r="F75" s="62"/>
      <c r="G75" s="62"/>
      <c r="I75" s="82"/>
    </row>
    <row r="76" spans="2:9">
      <c r="B76" s="13"/>
      <c r="D76" s="13"/>
      <c r="E76" s="13"/>
      <c r="F76" s="80"/>
      <c r="G76" s="80"/>
    </row>
    <row r="77" spans="2:9">
      <c r="B77" s="13"/>
      <c r="D77" s="13"/>
      <c r="E77" s="13"/>
      <c r="F77" s="82"/>
      <c r="G77" s="82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94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V28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6" sqref="H16"/>
    </sheetView>
  </sheetViews>
  <sheetFormatPr defaultColWidth="10.875" defaultRowHeight="12"/>
  <cols>
    <col min="1" max="1" width="8.875" style="13" customWidth="1"/>
    <col min="2" max="2" width="6.625" style="13" bestFit="1" customWidth="1"/>
    <col min="3" max="3" width="9.25" style="13" bestFit="1" customWidth="1"/>
    <col min="4" max="4" width="11" style="13" bestFit="1" customWidth="1"/>
    <col min="5" max="5" width="22.375" style="13" bestFit="1" customWidth="1"/>
    <col min="6" max="6" width="37.75" style="13" bestFit="1" customWidth="1"/>
    <col min="7" max="7" width="10" style="13" bestFit="1" customWidth="1"/>
    <col min="8" max="8" width="12.75" style="12" bestFit="1" customWidth="1"/>
    <col min="9" max="9" width="12.875" style="41" bestFit="1" customWidth="1"/>
    <col min="10" max="10" width="13.75" style="13" customWidth="1"/>
    <col min="11" max="11" width="12.125" style="13" bestFit="1" customWidth="1"/>
    <col min="12" max="12" width="12" style="61" bestFit="1" customWidth="1"/>
    <col min="13" max="13" width="11.25" style="11" bestFit="1" customWidth="1"/>
    <col min="14" max="14" width="12.625" style="58" bestFit="1" customWidth="1"/>
    <col min="15" max="15" width="13.125" style="12" bestFit="1" customWidth="1"/>
    <col min="16" max="16" width="9.625" style="13" bestFit="1" customWidth="1"/>
    <col min="17" max="17" width="10.875" style="13"/>
    <col min="18" max="18" width="31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ROUND(Totals!$H$8*Totals!$P$8, 0)</f>
        <v>19677287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2"/>
      <c r="J3" s="11"/>
      <c r="K3" s="11"/>
      <c r="L3" s="60"/>
      <c r="N3" s="54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>
      <c r="A7" s="478">
        <v>32</v>
      </c>
      <c r="B7" s="478">
        <v>47</v>
      </c>
      <c r="C7" s="478" t="s">
        <v>411</v>
      </c>
      <c r="D7" s="478" t="s">
        <v>43</v>
      </c>
      <c r="E7" s="478" t="s">
        <v>413</v>
      </c>
      <c r="F7" s="479" t="s">
        <v>414</v>
      </c>
      <c r="G7" s="479" t="s">
        <v>255</v>
      </c>
      <c r="H7" s="480"/>
      <c r="I7" s="480"/>
      <c r="J7" s="481"/>
      <c r="K7" s="481"/>
      <c r="L7" s="482"/>
      <c r="M7" s="481"/>
      <c r="N7" s="482"/>
      <c r="O7" s="484"/>
      <c r="P7" s="481"/>
      <c r="Q7" s="478" t="s">
        <v>252</v>
      </c>
      <c r="R7" s="478"/>
    </row>
    <row r="8" spans="1:22">
      <c r="A8" s="478">
        <v>47</v>
      </c>
      <c r="B8" s="478">
        <v>62</v>
      </c>
      <c r="C8" s="478" t="s">
        <v>412</v>
      </c>
      <c r="D8" s="478" t="s">
        <v>43</v>
      </c>
      <c r="E8" s="478" t="s">
        <v>413</v>
      </c>
      <c r="F8" s="479" t="s">
        <v>415</v>
      </c>
      <c r="G8" s="479" t="s">
        <v>255</v>
      </c>
      <c r="H8" s="480"/>
      <c r="I8" s="480"/>
      <c r="J8" s="481"/>
      <c r="K8" s="481"/>
      <c r="L8" s="482"/>
      <c r="M8" s="481"/>
      <c r="N8" s="482"/>
      <c r="O8" s="484"/>
      <c r="P8" s="481"/>
      <c r="Q8" s="478" t="s">
        <v>253</v>
      </c>
      <c r="R8" s="478"/>
    </row>
    <row r="9" spans="1:22">
      <c r="A9" s="478">
        <v>89</v>
      </c>
      <c r="B9" s="478">
        <v>32</v>
      </c>
      <c r="C9" s="478" t="s">
        <v>416</v>
      </c>
      <c r="D9" s="478" t="s">
        <v>43</v>
      </c>
      <c r="E9" s="478" t="s">
        <v>257</v>
      </c>
      <c r="F9" s="479" t="s">
        <v>417</v>
      </c>
      <c r="G9" s="479" t="s">
        <v>258</v>
      </c>
      <c r="H9" s="480"/>
      <c r="I9" s="480"/>
      <c r="J9" s="481"/>
      <c r="K9" s="481"/>
      <c r="L9" s="482"/>
      <c r="M9" s="481"/>
      <c r="N9" s="482"/>
      <c r="O9" s="484"/>
      <c r="P9" s="481"/>
      <c r="Q9" s="478" t="s">
        <v>344</v>
      </c>
      <c r="R9" s="478"/>
    </row>
    <row r="10" spans="1:22">
      <c r="F10" s="36"/>
      <c r="G10" s="36"/>
      <c r="H10" s="318"/>
      <c r="I10" s="318"/>
      <c r="J10" s="11"/>
      <c r="K10" s="11"/>
      <c r="L10" s="404"/>
      <c r="N10" s="404"/>
      <c r="O10" s="355"/>
      <c r="P10" s="11"/>
    </row>
    <row r="11" spans="1:22">
      <c r="F11" s="36"/>
      <c r="G11" s="36"/>
      <c r="H11" s="318"/>
      <c r="I11" s="318"/>
      <c r="J11" s="11"/>
      <c r="K11" s="11"/>
      <c r="L11" s="404"/>
      <c r="N11" s="404"/>
      <c r="O11" s="355"/>
      <c r="P11" s="11"/>
    </row>
    <row r="12" spans="1:22">
      <c r="A12" s="43"/>
      <c r="B12" s="43"/>
      <c r="C12" s="43"/>
      <c r="D12" s="43"/>
      <c r="E12" s="1"/>
      <c r="F12" s="13" t="s">
        <v>19</v>
      </c>
      <c r="H12" s="280">
        <f>SUM(H7:H11)</f>
        <v>0</v>
      </c>
      <c r="I12" s="280">
        <f>SUM(I7:I11)</f>
        <v>0</v>
      </c>
      <c r="J12" s="10"/>
      <c r="K12" s="10"/>
      <c r="L12" s="280">
        <f>SUM(L7:L11)</f>
        <v>0</v>
      </c>
      <c r="M12" s="10"/>
      <c r="N12" s="280">
        <f>SUM(N7:N11)</f>
        <v>0</v>
      </c>
      <c r="O12" s="280">
        <f>SUM(O7:O11)</f>
        <v>0</v>
      </c>
    </row>
    <row r="13" spans="1:22" s="1" customFormat="1">
      <c r="A13" s="5"/>
      <c r="B13" s="5"/>
      <c r="C13" s="5"/>
      <c r="D13" s="91"/>
      <c r="F13" s="13"/>
      <c r="H13" s="78"/>
      <c r="J13" s="11"/>
      <c r="K13" s="11"/>
      <c r="L13" s="9"/>
      <c r="M13" s="6"/>
      <c r="Q13" s="13"/>
    </row>
    <row r="14" spans="1:22" s="1" customFormat="1">
      <c r="A14" s="5"/>
      <c r="B14" s="5"/>
      <c r="C14" s="5"/>
      <c r="E14" s="5"/>
      <c r="F14" s="13" t="s">
        <v>43</v>
      </c>
      <c r="G14" s="5"/>
      <c r="H14" s="34">
        <f>H12-I12</f>
        <v>0</v>
      </c>
      <c r="I14" s="9"/>
      <c r="L14" s="9"/>
      <c r="Q14" s="13"/>
    </row>
    <row r="15" spans="1:22" s="1" customFormat="1">
      <c r="A15" s="5"/>
      <c r="B15" s="5"/>
      <c r="C15" s="5"/>
      <c r="E15" s="5"/>
      <c r="G15" s="5"/>
      <c r="H15" s="69"/>
      <c r="I15" s="9"/>
      <c r="K15" s="142"/>
      <c r="L15" s="9"/>
      <c r="N15" s="78"/>
      <c r="Q15" s="13"/>
    </row>
    <row r="16" spans="1:22" s="1" customFormat="1">
      <c r="A16" s="5"/>
      <c r="B16" s="5"/>
      <c r="C16" s="5"/>
      <c r="E16" s="137"/>
      <c r="F16" s="59" t="s">
        <v>10</v>
      </c>
      <c r="G16" s="5"/>
      <c r="H16" s="79">
        <f>E1-I12+O12+G21</f>
        <v>19677287</v>
      </c>
      <c r="I16" s="325"/>
      <c r="J16" s="142"/>
      <c r="L16" s="9"/>
      <c r="M16" s="142"/>
      <c r="Q16" s="13"/>
    </row>
    <row r="17" spans="1:17" s="1" customFormat="1">
      <c r="A17" s="5"/>
      <c r="B17" s="5"/>
      <c r="C17" s="5"/>
      <c r="E17" s="137"/>
      <c r="F17" s="59"/>
      <c r="G17" s="5"/>
      <c r="H17" s="128"/>
      <c r="I17" s="325"/>
      <c r="J17" s="142"/>
      <c r="L17" s="9"/>
      <c r="M17" s="142"/>
      <c r="Q17" s="13"/>
    </row>
    <row r="18" spans="1:17" s="1" customFormat="1">
      <c r="A18" s="5"/>
      <c r="B18" s="5"/>
      <c r="C18" s="5"/>
      <c r="E18" s="137"/>
      <c r="F18" s="59"/>
      <c r="G18" s="5"/>
      <c r="H18" s="128"/>
      <c r="I18" s="325"/>
      <c r="J18" s="142"/>
      <c r="L18" s="9"/>
      <c r="M18" s="142"/>
      <c r="Q18" s="13"/>
    </row>
    <row r="19" spans="1:17">
      <c r="D19" s="43"/>
    </row>
    <row r="20" spans="1:17">
      <c r="E20" s="59"/>
      <c r="F20" s="59"/>
      <c r="G20" s="332"/>
      <c r="H20" s="35"/>
    </row>
    <row r="21" spans="1:17">
      <c r="A21" s="43"/>
      <c r="B21" s="43"/>
      <c r="C21" s="43"/>
      <c r="D21" s="43"/>
      <c r="G21" s="330">
        <f>SUM(G18:G20)</f>
        <v>0</v>
      </c>
    </row>
    <row r="22" spans="1:17">
      <c r="E22" s="43"/>
      <c r="F22" s="43"/>
      <c r="G22" s="43"/>
      <c r="H22" s="43"/>
      <c r="I22" s="52"/>
    </row>
    <row r="23" spans="1:17">
      <c r="A23" s="97"/>
      <c r="B23" s="97"/>
      <c r="C23" s="97"/>
      <c r="D23" s="97"/>
    </row>
    <row r="24" spans="1:17">
      <c r="E24" s="97"/>
      <c r="F24" s="97"/>
      <c r="G24" s="97"/>
      <c r="H24" s="97"/>
      <c r="I24" s="122"/>
    </row>
    <row r="25" spans="1:17">
      <c r="A25" s="96"/>
      <c r="B25" s="96"/>
      <c r="C25" s="96"/>
      <c r="D25" s="96"/>
    </row>
    <row r="26" spans="1:17">
      <c r="E26" s="96"/>
      <c r="F26" s="136"/>
      <c r="G26" s="96"/>
      <c r="H26" s="96"/>
    </row>
    <row r="27" spans="1:17">
      <c r="A27" s="96"/>
      <c r="B27" s="96"/>
      <c r="C27" s="96"/>
      <c r="D27" s="96"/>
    </row>
    <row r="28" spans="1:17">
      <c r="E28" s="96"/>
      <c r="F28" s="96"/>
      <c r="G28" s="96"/>
      <c r="H28" s="96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V23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75" defaultRowHeight="12"/>
  <cols>
    <col min="1" max="1" width="8.75" style="13" customWidth="1"/>
    <col min="2" max="2" width="6.625" style="13" bestFit="1" customWidth="1"/>
    <col min="3" max="3" width="9.25" style="13" bestFit="1" customWidth="1"/>
    <col min="4" max="4" width="7.875" style="13" bestFit="1" customWidth="1"/>
    <col min="5" max="5" width="21.625" style="13" customWidth="1"/>
    <col min="6" max="6" width="28.625" style="13" bestFit="1" customWidth="1"/>
    <col min="7" max="7" width="11.25" style="13" bestFit="1" customWidth="1"/>
    <col min="8" max="8" width="12.75" style="12" bestFit="1" customWidth="1"/>
    <col min="9" max="9" width="12" style="41" bestFit="1" customWidth="1"/>
    <col min="10" max="10" width="13.75" style="13" customWidth="1"/>
    <col min="11" max="11" width="12.125" style="13" bestFit="1" customWidth="1"/>
    <col min="12" max="12" width="12" style="61" bestFit="1" customWidth="1"/>
    <col min="13" max="13" width="11.25" style="11" bestFit="1" customWidth="1"/>
    <col min="14" max="14" width="12.625" style="58" bestFit="1" customWidth="1"/>
    <col min="15" max="15" width="13.125" style="12" bestFit="1" customWidth="1"/>
    <col min="16" max="16" width="9.625" style="13" bestFit="1" customWidth="1"/>
    <col min="17" max="17" width="10.875" style="13"/>
    <col min="18" max="18" width="31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ROUND(Totals!$H$8*Totals!$P$9, 0)-1</f>
        <v>12475596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2"/>
      <c r="J3" s="11"/>
      <c r="K3" s="11"/>
      <c r="L3" s="60"/>
      <c r="N3" s="54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>
      <c r="A7" s="478">
        <v>16</v>
      </c>
      <c r="B7" s="478">
        <v>27</v>
      </c>
      <c r="C7" s="478" t="s">
        <v>418</v>
      </c>
      <c r="D7" s="478" t="s">
        <v>43</v>
      </c>
      <c r="E7" s="478" t="s">
        <v>419</v>
      </c>
      <c r="F7" s="479" t="s">
        <v>420</v>
      </c>
      <c r="G7" s="479" t="s">
        <v>150</v>
      </c>
      <c r="H7" s="485"/>
      <c r="I7" s="485"/>
      <c r="J7" s="481"/>
      <c r="K7" s="481"/>
      <c r="L7" s="482"/>
      <c r="M7" s="481"/>
      <c r="N7" s="482"/>
      <c r="O7" s="484"/>
      <c r="P7" s="481"/>
      <c r="Q7" s="478">
        <v>1</v>
      </c>
      <c r="R7" s="478"/>
    </row>
    <row r="8" spans="1:22">
      <c r="F8" s="36"/>
      <c r="G8" s="36"/>
      <c r="H8" s="60"/>
      <c r="I8" s="60"/>
      <c r="J8" s="11"/>
      <c r="K8" s="11"/>
      <c r="L8" s="45"/>
      <c r="N8" s="45"/>
      <c r="O8" s="54"/>
      <c r="P8" s="11"/>
    </row>
    <row r="9" spans="1:22">
      <c r="A9" s="43"/>
      <c r="B9" s="43"/>
      <c r="C9" s="43"/>
      <c r="D9" s="43"/>
      <c r="E9" s="1"/>
      <c r="F9" s="13" t="s">
        <v>19</v>
      </c>
      <c r="H9" s="280">
        <f>SUM(H7:H8)</f>
        <v>0</v>
      </c>
      <c r="I9" s="280">
        <f>SUM(I7:I8)</f>
        <v>0</v>
      </c>
      <c r="J9" s="10"/>
      <c r="K9" s="10"/>
      <c r="L9" s="280">
        <f>SUM(L7:L8)</f>
        <v>0</v>
      </c>
      <c r="M9" s="10"/>
      <c r="N9" s="280">
        <f>SUM(N7:N8)</f>
        <v>0</v>
      </c>
      <c r="O9" s="280">
        <f>SUM(O7:O8)</f>
        <v>0</v>
      </c>
    </row>
    <row r="10" spans="1:22" s="1" customFormat="1">
      <c r="A10" s="5"/>
      <c r="B10" s="5"/>
      <c r="C10" s="5"/>
      <c r="D10" s="91"/>
      <c r="F10" s="13"/>
      <c r="H10" s="78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9"/>
      <c r="I12" s="9"/>
      <c r="K12" s="142"/>
      <c r="L12" s="9"/>
      <c r="N12" s="78"/>
      <c r="Q12" s="13"/>
    </row>
    <row r="13" spans="1:22" s="1" customFormat="1">
      <c r="A13" s="5"/>
      <c r="B13" s="5"/>
      <c r="C13" s="5"/>
      <c r="E13" s="137"/>
      <c r="F13" s="59" t="s">
        <v>10</v>
      </c>
      <c r="G13" s="5"/>
      <c r="H13" s="79">
        <f>+E1-I9+O9+G16</f>
        <v>12475596</v>
      </c>
      <c r="I13" s="325"/>
      <c r="J13" s="142"/>
      <c r="L13" s="9"/>
      <c r="M13" s="142"/>
      <c r="Q13" s="13"/>
    </row>
    <row r="14" spans="1:22">
      <c r="D14" s="43"/>
    </row>
    <row r="15" spans="1:22">
      <c r="E15" s="59"/>
      <c r="F15" s="59"/>
      <c r="G15" s="332"/>
      <c r="H15" s="35"/>
    </row>
    <row r="16" spans="1:22">
      <c r="A16" s="43"/>
      <c r="B16" s="43"/>
      <c r="C16" s="43"/>
      <c r="D16" s="43"/>
      <c r="G16" s="331"/>
    </row>
    <row r="17" spans="1:9">
      <c r="E17" s="43"/>
      <c r="F17" s="43"/>
      <c r="G17" s="43"/>
      <c r="H17" s="43"/>
      <c r="I17" s="52"/>
    </row>
    <row r="18" spans="1:9">
      <c r="A18" s="97"/>
      <c r="B18" s="97"/>
      <c r="C18" s="97"/>
      <c r="D18" s="97"/>
    </row>
    <row r="19" spans="1:9">
      <c r="E19" s="97"/>
      <c r="F19" s="97"/>
      <c r="G19" s="97"/>
      <c r="H19" s="97"/>
      <c r="I19" s="122"/>
    </row>
    <row r="20" spans="1:9">
      <c r="A20" s="96"/>
      <c r="B20" s="96"/>
      <c r="C20" s="96"/>
      <c r="D20" s="96"/>
    </row>
    <row r="21" spans="1:9">
      <c r="E21" s="96"/>
      <c r="F21" s="136"/>
      <c r="G21" s="96"/>
      <c r="H21" s="96"/>
    </row>
    <row r="22" spans="1:9">
      <c r="A22" s="96"/>
      <c r="B22" s="96"/>
      <c r="C22" s="96"/>
      <c r="D22" s="96"/>
    </row>
    <row r="23" spans="1:9">
      <c r="E23" s="96"/>
      <c r="F23" s="96"/>
      <c r="G23" s="96"/>
      <c r="H23" s="96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2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30" sqref="H30"/>
    </sheetView>
  </sheetViews>
  <sheetFormatPr defaultColWidth="10.875" defaultRowHeight="12"/>
  <cols>
    <col min="1" max="1" width="9.125" style="13" customWidth="1"/>
    <col min="2" max="2" width="6.625" style="13" bestFit="1" customWidth="1"/>
    <col min="3" max="3" width="9.25" style="13" bestFit="1" customWidth="1"/>
    <col min="4" max="4" width="11.875" style="13" customWidth="1"/>
    <col min="5" max="5" width="23.875" style="13" customWidth="1"/>
    <col min="6" max="6" width="27.75" style="13" customWidth="1"/>
    <col min="7" max="7" width="10.75" style="13" bestFit="1" customWidth="1"/>
    <col min="8" max="8" width="14" style="12" customWidth="1"/>
    <col min="9" max="9" width="14" style="41" customWidth="1"/>
    <col min="10" max="10" width="13.75" style="13" customWidth="1"/>
    <col min="11" max="11" width="10.125" style="13" bestFit="1" customWidth="1"/>
    <col min="12" max="12" width="12.875" style="61" bestFit="1" customWidth="1"/>
    <col min="13" max="13" width="11.375" style="11" bestFit="1" customWidth="1"/>
    <col min="14" max="14" width="15.25" style="58" bestFit="1" customWidth="1"/>
    <col min="15" max="15" width="13.75" style="12" bestFit="1" customWidth="1"/>
    <col min="16" max="16" width="9.625" style="13" bestFit="1" customWidth="1"/>
    <col min="17" max="17" width="10.875" style="13"/>
    <col min="18" max="18" width="41.875" style="13" bestFit="1" customWidth="1"/>
    <col min="19" max="19" width="16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ROUND(Totals!$H$8*Totals!$P$10, 0)</f>
        <v>182764911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2"/>
      <c r="J3" s="11"/>
      <c r="K3" s="11"/>
      <c r="L3" s="60"/>
      <c r="N3" s="54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3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>
      <c r="A7" s="13">
        <v>15</v>
      </c>
      <c r="B7" s="13">
        <v>25</v>
      </c>
      <c r="C7" s="13">
        <v>4953</v>
      </c>
      <c r="D7" s="13" t="s">
        <v>203</v>
      </c>
      <c r="E7" s="13" t="s">
        <v>425</v>
      </c>
      <c r="F7" s="36" t="s">
        <v>426</v>
      </c>
      <c r="G7" s="36" t="s">
        <v>78</v>
      </c>
      <c r="H7" s="318">
        <v>45000000</v>
      </c>
      <c r="I7" s="318">
        <v>45000000</v>
      </c>
      <c r="J7" s="11">
        <v>43477</v>
      </c>
      <c r="K7" s="11">
        <f>J7+35</f>
        <v>43512</v>
      </c>
      <c r="L7" s="318">
        <v>45000000</v>
      </c>
      <c r="M7" s="11">
        <f>J7+180</f>
        <v>43657</v>
      </c>
      <c r="N7" s="404">
        <v>0</v>
      </c>
      <c r="O7" s="318">
        <f>L7-N7</f>
        <v>45000000</v>
      </c>
      <c r="P7" s="11">
        <v>43596</v>
      </c>
      <c r="Q7" s="13" t="s">
        <v>252</v>
      </c>
      <c r="R7" s="476" t="s">
        <v>631</v>
      </c>
    </row>
    <row r="8" spans="1:22">
      <c r="A8" s="13">
        <v>18</v>
      </c>
      <c r="B8" s="13">
        <v>29</v>
      </c>
      <c r="C8" s="13">
        <v>4961</v>
      </c>
      <c r="D8" s="13" t="s">
        <v>203</v>
      </c>
      <c r="E8" s="13" t="s">
        <v>200</v>
      </c>
      <c r="F8" s="36" t="s">
        <v>427</v>
      </c>
      <c r="G8" s="36" t="s">
        <v>201</v>
      </c>
      <c r="H8" s="318">
        <v>15000000</v>
      </c>
      <c r="I8" s="318">
        <v>15000000</v>
      </c>
      <c r="J8" s="11">
        <v>43482</v>
      </c>
      <c r="K8" s="11">
        <f>J8+35</f>
        <v>43517</v>
      </c>
      <c r="L8" s="318">
        <v>15000000</v>
      </c>
      <c r="M8" s="11">
        <f>J8+180</f>
        <v>43662</v>
      </c>
      <c r="N8" s="404">
        <v>0</v>
      </c>
      <c r="O8" s="318">
        <f>L8-N8</f>
        <v>15000000</v>
      </c>
      <c r="P8" s="11">
        <v>43666</v>
      </c>
      <c r="Q8" s="13" t="s">
        <v>252</v>
      </c>
      <c r="R8" s="476" t="s">
        <v>637</v>
      </c>
    </row>
    <row r="9" spans="1:22">
      <c r="A9" s="13">
        <v>21</v>
      </c>
      <c r="B9" s="13">
        <v>33</v>
      </c>
      <c r="C9" s="13">
        <v>4975</v>
      </c>
      <c r="D9" s="13" t="s">
        <v>203</v>
      </c>
      <c r="E9" s="13" t="s">
        <v>200</v>
      </c>
      <c r="F9" s="36" t="s">
        <v>428</v>
      </c>
      <c r="G9" s="36" t="s">
        <v>201</v>
      </c>
      <c r="H9" s="318">
        <v>15000000</v>
      </c>
      <c r="I9" s="318">
        <v>15000000</v>
      </c>
      <c r="J9" s="11">
        <v>43488</v>
      </c>
      <c r="K9" s="11">
        <f>J9+35</f>
        <v>43523</v>
      </c>
      <c r="L9" s="318">
        <v>15000000</v>
      </c>
      <c r="M9" s="11">
        <f>J9+180</f>
        <v>43668</v>
      </c>
      <c r="N9" s="404">
        <v>0</v>
      </c>
      <c r="O9" s="318">
        <f>L9-N9</f>
        <v>15000000</v>
      </c>
      <c r="P9" s="11">
        <v>43666</v>
      </c>
      <c r="Q9" s="13" t="s">
        <v>252</v>
      </c>
      <c r="R9" s="476" t="s">
        <v>644</v>
      </c>
      <c r="S9" s="338"/>
    </row>
    <row r="10" spans="1:22">
      <c r="A10" s="13">
        <v>22</v>
      </c>
      <c r="B10" s="13">
        <v>34</v>
      </c>
      <c r="C10" s="13">
        <v>4985</v>
      </c>
      <c r="D10" s="13" t="s">
        <v>204</v>
      </c>
      <c r="E10" s="13" t="s">
        <v>425</v>
      </c>
      <c r="F10" s="36" t="s">
        <v>429</v>
      </c>
      <c r="G10" s="36" t="s">
        <v>78</v>
      </c>
      <c r="H10" s="318">
        <v>45000000</v>
      </c>
      <c r="I10" s="318">
        <v>45000000</v>
      </c>
      <c r="J10" s="11">
        <v>43491</v>
      </c>
      <c r="K10" s="11">
        <f>J10+35</f>
        <v>43526</v>
      </c>
      <c r="L10" s="318">
        <v>45000000</v>
      </c>
      <c r="M10" s="11">
        <f>J10+180</f>
        <v>43671</v>
      </c>
      <c r="N10" s="404">
        <f>39937000+1062723.57</f>
        <v>40999723.57</v>
      </c>
      <c r="O10" s="404">
        <f>L10-N10</f>
        <v>4000276.4299999997</v>
      </c>
      <c r="P10" s="11">
        <v>43673</v>
      </c>
      <c r="Q10" s="13" t="s">
        <v>252</v>
      </c>
      <c r="R10" s="476" t="s">
        <v>660</v>
      </c>
    </row>
    <row r="11" spans="1:22" s="477" customFormat="1">
      <c r="A11" s="477">
        <v>25</v>
      </c>
      <c r="B11" s="477">
        <v>38</v>
      </c>
      <c r="C11" s="477">
        <v>4991</v>
      </c>
      <c r="D11" s="477" t="s">
        <v>203</v>
      </c>
      <c r="E11" s="477" t="s">
        <v>260</v>
      </c>
      <c r="F11" s="486" t="s">
        <v>430</v>
      </c>
      <c r="G11" s="486" t="s">
        <v>431</v>
      </c>
      <c r="H11" s="475">
        <v>40000000</v>
      </c>
      <c r="I11" s="475">
        <v>40000000</v>
      </c>
      <c r="J11" s="487">
        <v>43495</v>
      </c>
      <c r="K11" s="487">
        <f>J11+35</f>
        <v>43530</v>
      </c>
      <c r="L11" s="475">
        <v>0</v>
      </c>
      <c r="M11" s="487">
        <f>J11+180</f>
        <v>43675</v>
      </c>
      <c r="N11" s="488">
        <v>0</v>
      </c>
      <c r="O11" s="475">
        <f>I11-L11</f>
        <v>40000000</v>
      </c>
      <c r="P11" s="487">
        <v>43525</v>
      </c>
      <c r="Q11" s="477" t="s">
        <v>253</v>
      </c>
      <c r="R11" s="490" t="s">
        <v>665</v>
      </c>
    </row>
    <row r="12" spans="1:22">
      <c r="A12" s="478">
        <v>37</v>
      </c>
      <c r="B12" s="478">
        <v>52</v>
      </c>
      <c r="C12" s="478" t="s">
        <v>421</v>
      </c>
      <c r="D12" s="478" t="s">
        <v>43</v>
      </c>
      <c r="E12" s="478" t="s">
        <v>425</v>
      </c>
      <c r="F12" s="479" t="s">
        <v>432</v>
      </c>
      <c r="G12" s="479" t="s">
        <v>78</v>
      </c>
      <c r="H12" s="480"/>
      <c r="I12" s="480"/>
      <c r="J12" s="481"/>
      <c r="K12" s="481"/>
      <c r="L12" s="480"/>
      <c r="M12" s="481"/>
      <c r="N12" s="482"/>
      <c r="O12" s="483"/>
      <c r="P12" s="481"/>
      <c r="Q12" s="478" t="s">
        <v>252</v>
      </c>
      <c r="R12" s="402"/>
    </row>
    <row r="13" spans="1:22">
      <c r="A13" s="13">
        <v>40</v>
      </c>
      <c r="B13" s="13">
        <v>54</v>
      </c>
      <c r="C13" s="13" t="s">
        <v>422</v>
      </c>
      <c r="D13" s="13" t="s">
        <v>203</v>
      </c>
      <c r="E13" s="13" t="s">
        <v>433</v>
      </c>
      <c r="F13" s="36" t="s">
        <v>434</v>
      </c>
      <c r="G13" s="36" t="s">
        <v>270</v>
      </c>
      <c r="H13" s="318">
        <v>0</v>
      </c>
      <c r="I13" s="318"/>
      <c r="J13" s="11"/>
      <c r="K13" s="11"/>
      <c r="L13" s="404"/>
      <c r="N13" s="404"/>
      <c r="O13" s="355"/>
      <c r="P13" s="11"/>
      <c r="Q13" s="13" t="s">
        <v>272</v>
      </c>
    </row>
    <row r="14" spans="1:22">
      <c r="A14" s="478">
        <v>42</v>
      </c>
      <c r="B14" s="478">
        <v>56</v>
      </c>
      <c r="C14" s="478" t="s">
        <v>423</v>
      </c>
      <c r="D14" s="478" t="s">
        <v>43</v>
      </c>
      <c r="E14" s="478" t="s">
        <v>97</v>
      </c>
      <c r="F14" s="479" t="s">
        <v>435</v>
      </c>
      <c r="G14" s="479" t="s">
        <v>95</v>
      </c>
      <c r="H14" s="480"/>
      <c r="I14" s="480"/>
      <c r="J14" s="481"/>
      <c r="K14" s="481"/>
      <c r="L14" s="482"/>
      <c r="M14" s="481"/>
      <c r="N14" s="482"/>
      <c r="O14" s="484"/>
      <c r="P14" s="481"/>
      <c r="Q14" s="478" t="s">
        <v>253</v>
      </c>
    </row>
    <row r="15" spans="1:22">
      <c r="A15" s="478">
        <v>45</v>
      </c>
      <c r="B15" s="478">
        <v>60</v>
      </c>
      <c r="C15" s="478" t="s">
        <v>424</v>
      </c>
      <c r="D15" s="478" t="s">
        <v>43</v>
      </c>
      <c r="E15" s="478" t="s">
        <v>159</v>
      </c>
      <c r="F15" s="479" t="s">
        <v>436</v>
      </c>
      <c r="G15" s="479" t="s">
        <v>187</v>
      </c>
      <c r="H15" s="480"/>
      <c r="I15" s="480"/>
      <c r="J15" s="481"/>
      <c r="K15" s="481"/>
      <c r="L15" s="482"/>
      <c r="M15" s="481"/>
      <c r="N15" s="482"/>
      <c r="O15" s="484"/>
      <c r="P15" s="481"/>
      <c r="Q15" s="478" t="s">
        <v>253</v>
      </c>
    </row>
    <row r="16" spans="1:22">
      <c r="A16" s="478">
        <v>49</v>
      </c>
      <c r="B16" s="478">
        <v>66</v>
      </c>
      <c r="C16" s="478" t="s">
        <v>437</v>
      </c>
      <c r="D16" s="478" t="s">
        <v>43</v>
      </c>
      <c r="E16" s="478" t="s">
        <v>97</v>
      </c>
      <c r="F16" s="479" t="s">
        <v>446</v>
      </c>
      <c r="G16" s="479" t="s">
        <v>95</v>
      </c>
      <c r="H16" s="480"/>
      <c r="I16" s="480"/>
      <c r="J16" s="481"/>
      <c r="K16" s="481"/>
      <c r="L16" s="482"/>
      <c r="M16" s="481"/>
      <c r="N16" s="482"/>
      <c r="O16" s="484"/>
      <c r="P16" s="481"/>
      <c r="Q16" s="478" t="s">
        <v>410</v>
      </c>
    </row>
    <row r="17" spans="1:19">
      <c r="A17" s="478">
        <v>56</v>
      </c>
      <c r="B17" s="478">
        <v>72</v>
      </c>
      <c r="C17" s="478" t="s">
        <v>438</v>
      </c>
      <c r="D17" s="478" t="s">
        <v>43</v>
      </c>
      <c r="E17" s="478" t="s">
        <v>433</v>
      </c>
      <c r="F17" s="479" t="s">
        <v>447</v>
      </c>
      <c r="G17" s="479" t="s">
        <v>270</v>
      </c>
      <c r="H17" s="480"/>
      <c r="I17" s="480"/>
      <c r="J17" s="481"/>
      <c r="K17" s="481"/>
      <c r="L17" s="482"/>
      <c r="M17" s="481"/>
      <c r="N17" s="482"/>
      <c r="O17" s="484"/>
      <c r="P17" s="481"/>
      <c r="Q17" s="478" t="s">
        <v>410</v>
      </c>
    </row>
    <row r="18" spans="1:19">
      <c r="A18" s="478">
        <v>58</v>
      </c>
      <c r="B18" s="478">
        <v>73</v>
      </c>
      <c r="C18" s="478" t="s">
        <v>439</v>
      </c>
      <c r="D18" s="478" t="s">
        <v>43</v>
      </c>
      <c r="E18" s="478" t="s">
        <v>425</v>
      </c>
      <c r="F18" s="479" t="s">
        <v>448</v>
      </c>
      <c r="G18" s="479" t="s">
        <v>78</v>
      </c>
      <c r="H18" s="480"/>
      <c r="I18" s="480"/>
      <c r="J18" s="481"/>
      <c r="K18" s="481"/>
      <c r="L18" s="482"/>
      <c r="M18" s="481"/>
      <c r="N18" s="482"/>
      <c r="O18" s="484"/>
      <c r="P18" s="481"/>
      <c r="Q18" s="478" t="s">
        <v>410</v>
      </c>
    </row>
    <row r="19" spans="1:19">
      <c r="A19" s="13">
        <v>63</v>
      </c>
      <c r="B19" s="13">
        <v>77</v>
      </c>
      <c r="C19" s="13" t="s">
        <v>440</v>
      </c>
      <c r="D19" s="13" t="s">
        <v>203</v>
      </c>
      <c r="E19" s="13" t="s">
        <v>183</v>
      </c>
      <c r="F19" s="36" t="s">
        <v>449</v>
      </c>
      <c r="G19" s="36" t="s">
        <v>184</v>
      </c>
      <c r="H19" s="318">
        <v>0</v>
      </c>
      <c r="I19" s="318"/>
      <c r="J19" s="11"/>
      <c r="K19" s="11"/>
      <c r="L19" s="404"/>
      <c r="N19" s="404"/>
      <c r="O19" s="355"/>
      <c r="P19" s="11"/>
      <c r="Q19" s="13" t="s">
        <v>410</v>
      </c>
    </row>
    <row r="20" spans="1:19">
      <c r="A20" s="478">
        <v>72</v>
      </c>
      <c r="B20" s="478">
        <v>83</v>
      </c>
      <c r="C20" s="478" t="s">
        <v>441</v>
      </c>
      <c r="D20" s="478" t="s">
        <v>43</v>
      </c>
      <c r="E20" s="478" t="s">
        <v>425</v>
      </c>
      <c r="F20" s="479" t="s">
        <v>390</v>
      </c>
      <c r="G20" s="479" t="s">
        <v>78</v>
      </c>
      <c r="H20" s="480"/>
      <c r="I20" s="480"/>
      <c r="J20" s="481"/>
      <c r="K20" s="481"/>
      <c r="L20" s="482"/>
      <c r="M20" s="481"/>
      <c r="N20" s="482"/>
      <c r="O20" s="484"/>
      <c r="P20" s="481"/>
      <c r="Q20" s="478" t="s">
        <v>410</v>
      </c>
    </row>
    <row r="21" spans="1:19">
      <c r="A21" s="478">
        <v>77</v>
      </c>
      <c r="B21" s="478">
        <v>86</v>
      </c>
      <c r="C21" s="478" t="s">
        <v>442</v>
      </c>
      <c r="D21" s="478" t="s">
        <v>43</v>
      </c>
      <c r="E21" s="478" t="s">
        <v>425</v>
      </c>
      <c r="F21" s="479" t="s">
        <v>389</v>
      </c>
      <c r="G21" s="479" t="s">
        <v>78</v>
      </c>
      <c r="H21" s="480"/>
      <c r="I21" s="480"/>
      <c r="J21" s="481"/>
      <c r="K21" s="481"/>
      <c r="L21" s="482"/>
      <c r="M21" s="481"/>
      <c r="N21" s="482"/>
      <c r="O21" s="484"/>
      <c r="P21" s="481"/>
      <c r="Q21" s="478" t="s">
        <v>410</v>
      </c>
    </row>
    <row r="22" spans="1:19">
      <c r="A22" s="478">
        <v>82</v>
      </c>
      <c r="B22" s="478">
        <v>90</v>
      </c>
      <c r="C22" s="478" t="s">
        <v>443</v>
      </c>
      <c r="D22" s="478" t="s">
        <v>43</v>
      </c>
      <c r="E22" s="478" t="s">
        <v>260</v>
      </c>
      <c r="F22" s="479" t="s">
        <v>450</v>
      </c>
      <c r="G22" s="479" t="s">
        <v>261</v>
      </c>
      <c r="H22" s="480"/>
      <c r="I22" s="480"/>
      <c r="J22" s="481"/>
      <c r="K22" s="481"/>
      <c r="L22" s="482"/>
      <c r="M22" s="481"/>
      <c r="N22" s="482"/>
      <c r="O22" s="484"/>
      <c r="P22" s="481"/>
      <c r="Q22" s="478" t="s">
        <v>410</v>
      </c>
    </row>
    <row r="23" spans="1:19">
      <c r="A23" s="478">
        <v>96</v>
      </c>
      <c r="B23" s="478">
        <v>103</v>
      </c>
      <c r="C23" s="478" t="s">
        <v>444</v>
      </c>
      <c r="D23" s="478" t="s">
        <v>43</v>
      </c>
      <c r="E23" s="478" t="s">
        <v>425</v>
      </c>
      <c r="F23" s="479" t="s">
        <v>451</v>
      </c>
      <c r="G23" s="479" t="s">
        <v>78</v>
      </c>
      <c r="H23" s="480"/>
      <c r="I23" s="480"/>
      <c r="J23" s="481"/>
      <c r="K23" s="481"/>
      <c r="L23" s="482"/>
      <c r="M23" s="481"/>
      <c r="N23" s="482"/>
      <c r="O23" s="484"/>
      <c r="P23" s="481"/>
      <c r="Q23" s="478" t="s">
        <v>410</v>
      </c>
    </row>
    <row r="24" spans="1:19">
      <c r="A24" s="478">
        <v>105</v>
      </c>
      <c r="B24" s="478">
        <v>109</v>
      </c>
      <c r="C24" s="478" t="s">
        <v>445</v>
      </c>
      <c r="D24" s="478" t="s">
        <v>43</v>
      </c>
      <c r="E24" s="478" t="s">
        <v>425</v>
      </c>
      <c r="F24" s="479" t="s">
        <v>452</v>
      </c>
      <c r="G24" s="479" t="s">
        <v>78</v>
      </c>
      <c r="H24" s="480"/>
      <c r="I24" s="480"/>
      <c r="J24" s="481"/>
      <c r="K24" s="481"/>
      <c r="L24" s="482"/>
      <c r="M24" s="481"/>
      <c r="N24" s="482"/>
      <c r="O24" s="484"/>
      <c r="P24" s="481"/>
      <c r="Q24" s="478" t="s">
        <v>410</v>
      </c>
    </row>
    <row r="25" spans="1:19">
      <c r="A25" s="13">
        <v>109</v>
      </c>
      <c r="B25" s="13">
        <v>114</v>
      </c>
      <c r="C25" s="13">
        <v>5003</v>
      </c>
      <c r="D25" s="13" t="s">
        <v>204</v>
      </c>
      <c r="E25" s="13" t="s">
        <v>183</v>
      </c>
      <c r="F25" s="36" t="s">
        <v>263</v>
      </c>
      <c r="G25" s="36" t="s">
        <v>184</v>
      </c>
      <c r="H25" s="318">
        <v>40000000</v>
      </c>
      <c r="I25" s="318">
        <v>40000000</v>
      </c>
      <c r="J25" s="11">
        <v>43498</v>
      </c>
      <c r="K25" s="11">
        <f>J25+35</f>
        <v>43533</v>
      </c>
      <c r="L25" s="318">
        <v>40000000</v>
      </c>
      <c r="M25" s="11">
        <f>J25+180</f>
        <v>43678</v>
      </c>
      <c r="N25" s="404">
        <v>0</v>
      </c>
      <c r="O25" s="318">
        <f>L25-N25</f>
        <v>40000000</v>
      </c>
      <c r="P25" s="11">
        <v>43544</v>
      </c>
      <c r="Q25" s="13" t="s">
        <v>410</v>
      </c>
      <c r="R25" s="498" t="s">
        <v>674</v>
      </c>
      <c r="S25" s="338" t="s">
        <v>676</v>
      </c>
    </row>
    <row r="26" spans="1:19">
      <c r="A26" s="43"/>
      <c r="B26" s="43"/>
      <c r="C26" s="43"/>
      <c r="D26" s="43"/>
      <c r="E26" s="1"/>
      <c r="F26" s="13" t="s">
        <v>19</v>
      </c>
      <c r="H26" s="280">
        <f>SUM(H7:H25)</f>
        <v>200000000</v>
      </c>
      <c r="I26" s="280">
        <f>SUM(I7:I25)</f>
        <v>200000000</v>
      </c>
      <c r="J26" s="10"/>
      <c r="K26" s="10"/>
      <c r="L26" s="280">
        <f>SUM(L7:L25)</f>
        <v>160000000</v>
      </c>
      <c r="M26" s="10"/>
      <c r="N26" s="280">
        <f>SUM(N7:N25)</f>
        <v>40999723.57</v>
      </c>
      <c r="O26" s="280">
        <f>SUM(O7:O25)</f>
        <v>159000276.43000001</v>
      </c>
    </row>
    <row r="27" spans="1:19" s="1" customFormat="1">
      <c r="A27" s="5"/>
      <c r="B27" s="5"/>
      <c r="C27" s="5"/>
      <c r="D27" s="91"/>
      <c r="F27" s="13"/>
      <c r="H27" s="78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0</v>
      </c>
      <c r="I28" s="9"/>
      <c r="L28" s="9"/>
      <c r="Q28" s="13"/>
    </row>
    <row r="29" spans="1:19" s="1" customFormat="1">
      <c r="A29" s="5"/>
      <c r="B29" s="5"/>
      <c r="C29" s="5"/>
      <c r="E29" s="5"/>
      <c r="G29" s="5"/>
      <c r="H29" s="69"/>
      <c r="I29" s="9"/>
      <c r="K29" s="142"/>
      <c r="L29" s="9"/>
      <c r="M29" s="3"/>
      <c r="N29" s="78"/>
      <c r="Q29" s="13"/>
    </row>
    <row r="30" spans="1:19" s="1" customFormat="1">
      <c r="A30" s="5"/>
      <c r="B30" s="5"/>
      <c r="C30" s="5"/>
      <c r="E30" s="137"/>
      <c r="F30" s="59" t="s">
        <v>10</v>
      </c>
      <c r="G30" s="5"/>
      <c r="H30" s="79">
        <f>E1-I26+O26+G36</f>
        <v>141765187.43000001</v>
      </c>
      <c r="I30" s="325"/>
      <c r="J30" s="142"/>
      <c r="L30" s="3"/>
      <c r="M30" s="3"/>
      <c r="Q30" s="13"/>
    </row>
    <row r="31" spans="1:19">
      <c r="D31" s="43"/>
      <c r="F31" s="59"/>
      <c r="H31" s="27"/>
      <c r="I31" s="100"/>
      <c r="L31" s="524"/>
    </row>
    <row r="32" spans="1:19">
      <c r="D32" s="43"/>
      <c r="F32" s="59"/>
      <c r="H32" s="27"/>
      <c r="I32" s="100"/>
    </row>
    <row r="33" spans="1:12">
      <c r="D33" s="43"/>
      <c r="F33" s="59"/>
      <c r="H33" s="27"/>
      <c r="I33" s="100"/>
      <c r="L33" s="525"/>
    </row>
    <row r="34" spans="1:12">
      <c r="D34" s="43"/>
      <c r="G34" s="318"/>
      <c r="H34" s="317"/>
    </row>
    <row r="35" spans="1:12">
      <c r="A35" s="43"/>
      <c r="B35" s="43"/>
      <c r="D35" s="43"/>
      <c r="G35" s="475"/>
      <c r="H35" s="317"/>
      <c r="I35" s="344"/>
    </row>
    <row r="36" spans="1:12">
      <c r="E36" s="43"/>
      <c r="F36" s="43"/>
      <c r="G36" s="333">
        <f>SUM(G34:G35)</f>
        <v>0</v>
      </c>
      <c r="H36" s="172"/>
      <c r="I36" s="52"/>
      <c r="J36" s="11"/>
    </row>
    <row r="37" spans="1:12">
      <c r="A37" s="97"/>
      <c r="B37" s="97"/>
      <c r="C37" s="97"/>
      <c r="D37" s="97"/>
    </row>
    <row r="38" spans="1:12">
      <c r="E38" s="97"/>
      <c r="F38" s="97"/>
      <c r="G38" s="97"/>
      <c r="H38" s="97"/>
      <c r="I38" s="122"/>
    </row>
    <row r="39" spans="1:12">
      <c r="A39" s="96"/>
      <c r="B39" s="96"/>
      <c r="C39" s="96"/>
      <c r="D39" s="96"/>
    </row>
    <row r="40" spans="1:12">
      <c r="E40" s="96"/>
      <c r="F40" s="136"/>
      <c r="G40" s="96"/>
      <c r="H40" s="136"/>
    </row>
    <row r="41" spans="1:12">
      <c r="A41" s="96"/>
      <c r="B41" s="96"/>
      <c r="C41" s="96"/>
      <c r="D41" s="96"/>
    </row>
    <row r="42" spans="1:12">
      <c r="E42" s="96"/>
      <c r="F42" s="96"/>
      <c r="G42" s="96"/>
      <c r="H42" s="96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V20"/>
  <sheetViews>
    <sheetView zoomScaleNormal="100" workbookViewId="0">
      <selection activeCell="H14" sqref="H14"/>
    </sheetView>
  </sheetViews>
  <sheetFormatPr defaultColWidth="10.875" defaultRowHeight="12"/>
  <cols>
    <col min="1" max="1" width="8.625" style="13" customWidth="1"/>
    <col min="2" max="2" width="6.625" style="13" bestFit="1" customWidth="1"/>
    <col min="3" max="3" width="9.25" style="13" bestFit="1" customWidth="1"/>
    <col min="4" max="4" width="12" style="13" bestFit="1" customWidth="1"/>
    <col min="5" max="5" width="18" style="13" bestFit="1" customWidth="1"/>
    <col min="6" max="6" width="28.875" style="13" customWidth="1"/>
    <col min="7" max="7" width="10.75" style="13" bestFit="1" customWidth="1"/>
    <col min="8" max="8" width="13" style="12" bestFit="1" customWidth="1"/>
    <col min="9" max="9" width="12.125" style="35" bestFit="1" customWidth="1"/>
    <col min="10" max="10" width="13.75" style="13" customWidth="1"/>
    <col min="11" max="11" width="10.375" style="13" bestFit="1" customWidth="1"/>
    <col min="12" max="12" width="12.875" style="35" bestFit="1" customWidth="1"/>
    <col min="13" max="13" width="9.75" style="13" bestFit="1" customWidth="1"/>
    <col min="14" max="14" width="12.875" style="12" bestFit="1" customWidth="1"/>
    <col min="15" max="15" width="12" style="12" bestFit="1" customWidth="1"/>
    <col min="16" max="16" width="12" style="13" bestFit="1" customWidth="1"/>
    <col min="17" max="17" width="10.875" style="13"/>
    <col min="18" max="18" width="42.125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ROUND(Totals!$H$8*Totals!$P$11, 0)</f>
        <v>26126507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0"/>
      <c r="B3" s="43"/>
      <c r="C3" s="43"/>
      <c r="E3" s="36"/>
      <c r="F3" s="36"/>
      <c r="G3" s="36"/>
      <c r="H3" s="44"/>
      <c r="I3" s="89"/>
      <c r="L3" s="13"/>
      <c r="M3" s="11"/>
      <c r="N3" s="44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>
      <c r="F7" s="36"/>
      <c r="G7" s="36"/>
      <c r="H7" s="318"/>
      <c r="I7" s="418"/>
      <c r="J7" s="11"/>
      <c r="K7" s="11"/>
      <c r="L7" s="418"/>
      <c r="M7" s="11"/>
      <c r="N7" s="318"/>
      <c r="O7" s="355"/>
      <c r="P7" s="11"/>
      <c r="R7" s="43"/>
    </row>
    <row r="8" spans="1:22">
      <c r="F8" s="36"/>
      <c r="G8" s="36"/>
      <c r="H8" s="318"/>
      <c r="I8" s="318"/>
      <c r="J8" s="11"/>
      <c r="K8" s="11"/>
      <c r="L8" s="318"/>
      <c r="M8" s="11"/>
      <c r="N8" s="404"/>
      <c r="O8" s="424"/>
      <c r="P8" s="11"/>
      <c r="R8" s="43"/>
    </row>
    <row r="9" spans="1:22">
      <c r="F9" s="36"/>
      <c r="G9" s="36"/>
      <c r="H9" s="318"/>
      <c r="I9" s="318"/>
      <c r="J9" s="11"/>
      <c r="K9" s="11"/>
      <c r="L9" s="404"/>
      <c r="M9" s="11"/>
      <c r="N9" s="404"/>
      <c r="O9" s="355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80">
        <f>SUM(H7:H9)</f>
        <v>0</v>
      </c>
      <c r="I10" s="280">
        <f>SUM(I7:I9)</f>
        <v>0</v>
      </c>
      <c r="J10" s="10"/>
      <c r="K10" s="10"/>
      <c r="L10" s="280">
        <f>SUM(L7:L9)</f>
        <v>0</v>
      </c>
      <c r="M10" s="10"/>
      <c r="N10" s="280">
        <f>SUM(N7:N9)</f>
        <v>0</v>
      </c>
      <c r="O10" s="280">
        <f>SUM(O7:O9)</f>
        <v>0</v>
      </c>
    </row>
    <row r="11" spans="1:22" s="1" customFormat="1">
      <c r="A11" s="5"/>
      <c r="B11" s="5"/>
      <c r="C11" s="5"/>
      <c r="D11" s="91"/>
      <c r="F11" s="13"/>
      <c r="H11" s="78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M12" s="3"/>
      <c r="Q12" s="13"/>
    </row>
    <row r="13" spans="1:22" s="1" customFormat="1">
      <c r="A13" s="5"/>
      <c r="B13" s="5"/>
      <c r="C13" s="5"/>
      <c r="E13" s="5"/>
      <c r="G13" s="5"/>
      <c r="H13" s="69"/>
      <c r="I13" s="9"/>
      <c r="K13" s="142"/>
      <c r="L13" s="9"/>
      <c r="N13" s="78"/>
      <c r="Q13" s="13"/>
    </row>
    <row r="14" spans="1:22" s="1" customFormat="1">
      <c r="A14" s="5"/>
      <c r="B14" s="5"/>
      <c r="C14" s="5"/>
      <c r="E14" s="137"/>
      <c r="F14" s="59" t="s">
        <v>10</v>
      </c>
      <c r="G14" s="5"/>
      <c r="H14" s="79">
        <f>+E1-I10+O10+G17</f>
        <v>26126507</v>
      </c>
      <c r="I14" s="325"/>
      <c r="J14" s="142"/>
      <c r="L14" s="9"/>
      <c r="M14" s="142"/>
      <c r="Q14" s="13"/>
    </row>
    <row r="15" spans="1:22">
      <c r="A15" s="43"/>
      <c r="B15" s="43"/>
      <c r="C15" s="43"/>
      <c r="D15" s="1"/>
      <c r="E15" s="1"/>
      <c r="F15" s="1"/>
      <c r="G15" s="1"/>
      <c r="H15" s="78"/>
    </row>
    <row r="16" spans="1:22">
      <c r="H16" s="66"/>
    </row>
    <row r="17" spans="7:13">
      <c r="G17" s="334"/>
      <c r="H17" s="66"/>
    </row>
    <row r="18" spans="7:13">
      <c r="H18" s="66"/>
    </row>
    <row r="19" spans="7:13">
      <c r="M19" s="11"/>
    </row>
    <row r="20" spans="7:13">
      <c r="M20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75" defaultRowHeight="12"/>
  <cols>
    <col min="1" max="1" width="8.625" style="13" customWidth="1"/>
    <col min="2" max="2" width="6.625" style="13" bestFit="1" customWidth="1"/>
    <col min="3" max="3" width="9.25" style="13" bestFit="1" customWidth="1"/>
    <col min="4" max="4" width="9.875" style="13" bestFit="1" customWidth="1"/>
    <col min="5" max="5" width="21.875" style="13" bestFit="1" customWidth="1"/>
    <col min="6" max="6" width="17.375" style="13" customWidth="1"/>
    <col min="7" max="7" width="10.75" style="13" bestFit="1" customWidth="1"/>
    <col min="8" max="8" width="13" style="12" bestFit="1" customWidth="1"/>
    <col min="9" max="9" width="12.125" style="35" bestFit="1" customWidth="1"/>
    <col min="10" max="10" width="13.75" style="13" customWidth="1"/>
    <col min="11" max="11" width="9.75" style="13" bestFit="1" customWidth="1"/>
    <col min="12" max="12" width="12.875" style="35" bestFit="1" customWidth="1"/>
    <col min="13" max="13" width="9.75" style="13" bestFit="1" customWidth="1"/>
    <col min="14" max="14" width="13.625" style="12" bestFit="1" customWidth="1"/>
    <col min="15" max="15" width="12.625" style="12" bestFit="1" customWidth="1"/>
    <col min="16" max="16" width="12" style="13" bestFit="1" customWidth="1"/>
    <col min="17" max="17" width="10.875" style="13"/>
    <col min="18" max="18" width="31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ROUND(Totals!$H$8*Totals!$P$12, 0)-1</f>
        <v>17462495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0"/>
      <c r="B3" s="43"/>
      <c r="C3" s="43"/>
      <c r="E3" s="36"/>
      <c r="F3" s="36"/>
      <c r="G3" s="36"/>
      <c r="H3" s="44"/>
      <c r="I3" s="89"/>
      <c r="L3" s="13"/>
      <c r="M3" s="11"/>
      <c r="N3" s="44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45"/>
      <c r="M7" s="11"/>
      <c r="N7" s="45"/>
      <c r="O7" s="54"/>
      <c r="P7" s="11"/>
    </row>
    <row r="8" spans="1:22">
      <c r="F8" s="36"/>
      <c r="G8" s="36"/>
      <c r="H8" s="27"/>
      <c r="I8" s="27"/>
      <c r="J8" s="11"/>
      <c r="K8" s="11"/>
      <c r="L8" s="45"/>
      <c r="M8" s="11"/>
      <c r="N8" s="45"/>
      <c r="O8" s="54"/>
      <c r="P8" s="11"/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4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80">
        <f>SUM(H7:H9)</f>
        <v>0</v>
      </c>
      <c r="I10" s="280">
        <f>SUM(I7:I9)</f>
        <v>0</v>
      </c>
      <c r="J10" s="10"/>
      <c r="K10" s="10"/>
      <c r="L10" s="280">
        <f>SUM(L7:L9)</f>
        <v>0</v>
      </c>
      <c r="M10" s="10"/>
      <c r="N10" s="280">
        <f>SUM(N7:N9)</f>
        <v>0</v>
      </c>
      <c r="O10" s="280">
        <f>SUM(O7:O9)</f>
        <v>0</v>
      </c>
    </row>
    <row r="11" spans="1:22" s="1" customFormat="1">
      <c r="A11" s="5"/>
      <c r="B11" s="5"/>
      <c r="C11" s="5"/>
      <c r="D11" s="91"/>
      <c r="F11" s="13"/>
      <c r="H11" s="78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9"/>
      <c r="I13" s="9"/>
      <c r="K13" s="142"/>
      <c r="L13" s="9"/>
      <c r="N13" s="78"/>
      <c r="Q13" s="13"/>
    </row>
    <row r="14" spans="1:22" s="1" customFormat="1">
      <c r="A14" s="5"/>
      <c r="B14" s="5"/>
      <c r="C14" s="5"/>
      <c r="E14" s="137"/>
      <c r="F14" s="59" t="s">
        <v>10</v>
      </c>
      <c r="G14" s="5"/>
      <c r="H14" s="79">
        <f>+E1-I10+O10+G16</f>
        <v>17462495</v>
      </c>
      <c r="I14" s="325"/>
      <c r="J14" s="142"/>
      <c r="L14" s="9"/>
      <c r="M14" s="142"/>
      <c r="Q14" s="13"/>
    </row>
    <row r="15" spans="1:22">
      <c r="A15" s="43"/>
      <c r="B15" s="43"/>
      <c r="C15" s="43"/>
      <c r="D15" s="1"/>
      <c r="E15" s="1"/>
      <c r="F15" s="1"/>
      <c r="G15" s="1"/>
      <c r="H15" s="78"/>
    </row>
    <row r="16" spans="1:22">
      <c r="G16" s="334"/>
      <c r="H16" s="66"/>
    </row>
    <row r="17" spans="8:8">
      <c r="H17" s="66"/>
    </row>
    <row r="18" spans="8:8">
      <c r="H18" s="66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53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36" sqref="H36"/>
    </sheetView>
  </sheetViews>
  <sheetFormatPr defaultColWidth="10.875" defaultRowHeight="12"/>
  <cols>
    <col min="1" max="1" width="9" style="13" customWidth="1"/>
    <col min="2" max="2" width="6.625" style="13" bestFit="1" customWidth="1"/>
    <col min="3" max="3" width="9.25" style="13" bestFit="1" customWidth="1"/>
    <col min="4" max="4" width="12.125" style="13" customWidth="1"/>
    <col min="5" max="5" width="20.625" style="13" customWidth="1"/>
    <col min="6" max="6" width="23.375" style="13" customWidth="1"/>
    <col min="7" max="7" width="12.375" style="13" bestFit="1" customWidth="1"/>
    <col min="8" max="8" width="16" style="12" bestFit="1" customWidth="1"/>
    <col min="9" max="9" width="16" style="35" bestFit="1" customWidth="1"/>
    <col min="10" max="10" width="14.375" style="13" bestFit="1" customWidth="1"/>
    <col min="11" max="11" width="9.75" style="13" bestFit="1" customWidth="1"/>
    <col min="12" max="12" width="16" style="34" bestFit="1" customWidth="1"/>
    <col min="13" max="13" width="11.25" style="13" bestFit="1" customWidth="1"/>
    <col min="14" max="14" width="15.25" style="58" bestFit="1" customWidth="1"/>
    <col min="15" max="15" width="12.75" style="12" bestFit="1" customWidth="1"/>
    <col min="16" max="16" width="9.375" style="13" bestFit="1" customWidth="1"/>
    <col min="17" max="17" width="12" style="13" bestFit="1" customWidth="1"/>
    <col min="18" max="18" width="42.375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ROUND(Totals!$H$8*Totals!$P$13, 0)</f>
        <v>165779875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5"/>
      <c r="J3" s="11"/>
      <c r="K3" s="11"/>
      <c r="L3" s="27"/>
      <c r="M3" s="11"/>
      <c r="N3" s="54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>
      <c r="A7" s="13">
        <v>50</v>
      </c>
      <c r="B7" s="13">
        <v>67</v>
      </c>
      <c r="C7" s="13">
        <v>4950</v>
      </c>
      <c r="D7" s="13" t="s">
        <v>203</v>
      </c>
      <c r="E7" s="13" t="s">
        <v>463</v>
      </c>
      <c r="F7" s="36" t="s">
        <v>464</v>
      </c>
      <c r="G7" s="36" t="s">
        <v>465</v>
      </c>
      <c r="H7" s="318">
        <v>35000000</v>
      </c>
      <c r="I7" s="318">
        <v>35000000</v>
      </c>
      <c r="J7" s="11">
        <v>43476</v>
      </c>
      <c r="K7" s="11">
        <f>J7+35</f>
        <v>43511</v>
      </c>
      <c r="L7" s="318">
        <v>35000000</v>
      </c>
      <c r="M7" s="11">
        <f>J7+180</f>
        <v>43656</v>
      </c>
      <c r="N7" s="318">
        <v>0</v>
      </c>
      <c r="O7" s="318">
        <f>L7-N7</f>
        <v>35000000</v>
      </c>
      <c r="P7" s="11">
        <v>43643</v>
      </c>
      <c r="Q7" s="13" t="s">
        <v>410</v>
      </c>
      <c r="R7" s="476" t="s">
        <v>630</v>
      </c>
    </row>
    <row r="8" spans="1:22">
      <c r="A8" s="13">
        <v>62</v>
      </c>
      <c r="B8" s="13">
        <v>75</v>
      </c>
      <c r="C8" s="13">
        <v>4962</v>
      </c>
      <c r="D8" s="13" t="s">
        <v>203</v>
      </c>
      <c r="E8" s="13" t="s">
        <v>276</v>
      </c>
      <c r="F8" s="36" t="s">
        <v>466</v>
      </c>
      <c r="G8" s="36" t="s">
        <v>80</v>
      </c>
      <c r="H8" s="318">
        <v>40000000</v>
      </c>
      <c r="I8" s="318">
        <v>40000000</v>
      </c>
      <c r="J8" s="11">
        <v>43482</v>
      </c>
      <c r="K8" s="11">
        <f>J8+35</f>
        <v>43517</v>
      </c>
      <c r="L8" s="318">
        <v>30000000</v>
      </c>
      <c r="M8" s="11">
        <f>J8+180</f>
        <v>43662</v>
      </c>
      <c r="N8" s="318">
        <v>0</v>
      </c>
      <c r="O8" s="318">
        <f>I8-N8</f>
        <v>40000000</v>
      </c>
      <c r="P8" s="11">
        <v>43516</v>
      </c>
      <c r="Q8" s="13" t="s">
        <v>410</v>
      </c>
      <c r="R8" s="476" t="s">
        <v>637</v>
      </c>
    </row>
    <row r="9" spans="1:22">
      <c r="A9" s="13">
        <v>65</v>
      </c>
      <c r="B9" s="13">
        <v>79</v>
      </c>
      <c r="C9" s="13" t="s">
        <v>453</v>
      </c>
      <c r="D9" s="13" t="s">
        <v>203</v>
      </c>
      <c r="E9" s="13" t="s">
        <v>276</v>
      </c>
      <c r="F9" s="36" t="s">
        <v>467</v>
      </c>
      <c r="G9" s="36" t="s">
        <v>80</v>
      </c>
      <c r="H9" s="318">
        <v>0</v>
      </c>
      <c r="I9" s="318"/>
      <c r="J9" s="11"/>
      <c r="K9" s="11"/>
      <c r="L9" s="318"/>
      <c r="M9" s="11"/>
      <c r="N9" s="318"/>
      <c r="O9" s="318"/>
      <c r="P9" s="11"/>
      <c r="Q9" s="13" t="s">
        <v>410</v>
      </c>
      <c r="R9" s="402" t="s">
        <v>646</v>
      </c>
    </row>
    <row r="10" spans="1:22">
      <c r="A10" s="13">
        <v>68</v>
      </c>
      <c r="B10" s="13">
        <v>81</v>
      </c>
      <c r="C10" s="13">
        <v>4983</v>
      </c>
      <c r="D10" s="13" t="s">
        <v>204</v>
      </c>
      <c r="E10" s="13" t="s">
        <v>276</v>
      </c>
      <c r="F10" s="36" t="s">
        <v>468</v>
      </c>
      <c r="G10" s="36" t="s">
        <v>80</v>
      </c>
      <c r="H10" s="318">
        <v>38000000</v>
      </c>
      <c r="I10" s="318">
        <v>38000000</v>
      </c>
      <c r="J10" s="11">
        <v>43490</v>
      </c>
      <c r="K10" s="11">
        <f>J10+35</f>
        <v>43525</v>
      </c>
      <c r="L10" s="318">
        <v>38000000</v>
      </c>
      <c r="M10" s="11">
        <f>J10+180</f>
        <v>43670</v>
      </c>
      <c r="N10" s="404">
        <f>36763000+1236339.69</f>
        <v>37999339.689999998</v>
      </c>
      <c r="O10" s="404">
        <f>L10-N10</f>
        <v>660.31000000238419</v>
      </c>
      <c r="P10" s="11">
        <v>43673</v>
      </c>
      <c r="Q10" s="13" t="s">
        <v>410</v>
      </c>
      <c r="R10" s="476" t="s">
        <v>655</v>
      </c>
    </row>
    <row r="11" spans="1:22" s="477" customFormat="1">
      <c r="A11" s="477">
        <v>84</v>
      </c>
      <c r="B11" s="477">
        <v>92</v>
      </c>
      <c r="C11" s="477">
        <v>4992</v>
      </c>
      <c r="D11" s="477" t="s">
        <v>203</v>
      </c>
      <c r="E11" s="477" t="s">
        <v>276</v>
      </c>
      <c r="F11" s="486" t="s">
        <v>469</v>
      </c>
      <c r="G11" s="486" t="s">
        <v>80</v>
      </c>
      <c r="H11" s="475">
        <v>33500000</v>
      </c>
      <c r="I11" s="475">
        <v>33500000</v>
      </c>
      <c r="J11" s="487">
        <v>43495</v>
      </c>
      <c r="K11" s="487">
        <f>J11+35</f>
        <v>43530</v>
      </c>
      <c r="L11" s="475">
        <v>33500000</v>
      </c>
      <c r="M11" s="487">
        <f>J11+180</f>
        <v>43675</v>
      </c>
      <c r="N11" s="488">
        <v>0</v>
      </c>
      <c r="O11" s="489">
        <f>L11-N11</f>
        <v>33500000</v>
      </c>
      <c r="P11" s="487">
        <v>43635</v>
      </c>
      <c r="Q11" s="477" t="s">
        <v>410</v>
      </c>
      <c r="R11" s="490" t="s">
        <v>665</v>
      </c>
    </row>
    <row r="12" spans="1:22">
      <c r="A12" s="478">
        <v>86</v>
      </c>
      <c r="B12" s="478">
        <v>94</v>
      </c>
      <c r="C12" s="478" t="s">
        <v>454</v>
      </c>
      <c r="D12" s="478" t="s">
        <v>43</v>
      </c>
      <c r="E12" s="478" t="s">
        <v>276</v>
      </c>
      <c r="F12" s="479" t="s">
        <v>470</v>
      </c>
      <c r="G12" s="479" t="s">
        <v>80</v>
      </c>
      <c r="H12" s="480"/>
      <c r="I12" s="480"/>
      <c r="J12" s="481"/>
      <c r="K12" s="481"/>
      <c r="L12" s="482"/>
      <c r="M12" s="481"/>
      <c r="N12" s="482"/>
      <c r="O12" s="484"/>
      <c r="P12" s="481"/>
      <c r="Q12" s="478" t="s">
        <v>410</v>
      </c>
    </row>
    <row r="13" spans="1:22">
      <c r="A13" s="478">
        <v>87</v>
      </c>
      <c r="B13" s="478">
        <v>95</v>
      </c>
      <c r="C13" s="478" t="s">
        <v>455</v>
      </c>
      <c r="D13" s="478" t="s">
        <v>43</v>
      </c>
      <c r="E13" s="478" t="s">
        <v>471</v>
      </c>
      <c r="F13" s="479" t="s">
        <v>472</v>
      </c>
      <c r="G13" s="479" t="s">
        <v>80</v>
      </c>
      <c r="H13" s="480"/>
      <c r="I13" s="480"/>
      <c r="J13" s="481"/>
      <c r="K13" s="481"/>
      <c r="L13" s="482"/>
      <c r="M13" s="481"/>
      <c r="N13" s="482"/>
      <c r="O13" s="484"/>
      <c r="P13" s="481"/>
      <c r="Q13" s="478" t="s">
        <v>410</v>
      </c>
    </row>
    <row r="14" spans="1:22">
      <c r="A14" s="478">
        <v>88</v>
      </c>
      <c r="B14" s="478">
        <v>96</v>
      </c>
      <c r="C14" s="478" t="s">
        <v>456</v>
      </c>
      <c r="D14" s="478" t="s">
        <v>43</v>
      </c>
      <c r="E14" s="478" t="s">
        <v>463</v>
      </c>
      <c r="F14" s="479" t="s">
        <v>473</v>
      </c>
      <c r="G14" s="479" t="s">
        <v>275</v>
      </c>
      <c r="H14" s="480"/>
      <c r="I14" s="480"/>
      <c r="J14" s="481"/>
      <c r="K14" s="481"/>
      <c r="L14" s="482"/>
      <c r="M14" s="481"/>
      <c r="N14" s="482"/>
      <c r="O14" s="484"/>
      <c r="P14" s="481"/>
      <c r="Q14" s="478" t="s">
        <v>410</v>
      </c>
    </row>
    <row r="15" spans="1:22">
      <c r="A15" s="478">
        <v>90</v>
      </c>
      <c r="B15" s="478">
        <v>97</v>
      </c>
      <c r="C15" s="478" t="s">
        <v>457</v>
      </c>
      <c r="D15" s="478" t="s">
        <v>43</v>
      </c>
      <c r="E15" s="478" t="s">
        <v>463</v>
      </c>
      <c r="F15" s="479" t="s">
        <v>474</v>
      </c>
      <c r="G15" s="479" t="s">
        <v>275</v>
      </c>
      <c r="H15" s="480"/>
      <c r="I15" s="480"/>
      <c r="J15" s="481"/>
      <c r="K15" s="481"/>
      <c r="L15" s="482"/>
      <c r="M15" s="481"/>
      <c r="N15" s="482"/>
      <c r="O15" s="484"/>
      <c r="P15" s="481"/>
      <c r="Q15" s="478" t="s">
        <v>410</v>
      </c>
    </row>
    <row r="16" spans="1:22">
      <c r="A16" s="478">
        <v>95</v>
      </c>
      <c r="B16" s="478">
        <v>102</v>
      </c>
      <c r="C16" s="478" t="s">
        <v>458</v>
      </c>
      <c r="D16" s="478" t="s">
        <v>43</v>
      </c>
      <c r="E16" s="478" t="s">
        <v>276</v>
      </c>
      <c r="F16" s="479" t="s">
        <v>475</v>
      </c>
      <c r="G16" s="479" t="s">
        <v>80</v>
      </c>
      <c r="H16" s="480"/>
      <c r="I16" s="480"/>
      <c r="J16" s="481"/>
      <c r="K16" s="481"/>
      <c r="L16" s="482"/>
      <c r="M16" s="481"/>
      <c r="N16" s="482"/>
      <c r="O16" s="484"/>
      <c r="P16" s="481"/>
      <c r="Q16" s="478" t="s">
        <v>410</v>
      </c>
    </row>
    <row r="17" spans="1:17">
      <c r="A17" s="478">
        <v>101</v>
      </c>
      <c r="B17" s="478">
        <v>106</v>
      </c>
      <c r="C17" s="478" t="s">
        <v>459</v>
      </c>
      <c r="D17" s="478" t="s">
        <v>43</v>
      </c>
      <c r="E17" s="478" t="s">
        <v>276</v>
      </c>
      <c r="F17" s="479" t="s">
        <v>476</v>
      </c>
      <c r="G17" s="479" t="s">
        <v>80</v>
      </c>
      <c r="H17" s="480"/>
      <c r="I17" s="480"/>
      <c r="J17" s="481"/>
      <c r="K17" s="481"/>
      <c r="L17" s="482"/>
      <c r="M17" s="481"/>
      <c r="N17" s="482"/>
      <c r="O17" s="484"/>
      <c r="P17" s="481"/>
      <c r="Q17" s="478" t="s">
        <v>410</v>
      </c>
    </row>
    <row r="18" spans="1:17">
      <c r="A18" s="478">
        <v>102</v>
      </c>
      <c r="B18" s="478">
        <v>107</v>
      </c>
      <c r="C18" s="478" t="s">
        <v>460</v>
      </c>
      <c r="D18" s="478" t="s">
        <v>43</v>
      </c>
      <c r="E18" s="478" t="s">
        <v>276</v>
      </c>
      <c r="F18" s="479" t="s">
        <v>279</v>
      </c>
      <c r="G18" s="479" t="s">
        <v>80</v>
      </c>
      <c r="H18" s="480"/>
      <c r="I18" s="480"/>
      <c r="J18" s="481"/>
      <c r="K18" s="481"/>
      <c r="L18" s="482"/>
      <c r="M18" s="481"/>
      <c r="N18" s="482"/>
      <c r="O18" s="484"/>
      <c r="P18" s="481"/>
      <c r="Q18" s="478" t="s">
        <v>410</v>
      </c>
    </row>
    <row r="19" spans="1:17">
      <c r="A19" s="478">
        <v>107</v>
      </c>
      <c r="B19" s="478">
        <v>112</v>
      </c>
      <c r="C19" s="478" t="s">
        <v>461</v>
      </c>
      <c r="D19" s="478" t="s">
        <v>43</v>
      </c>
      <c r="E19" s="478" t="s">
        <v>471</v>
      </c>
      <c r="F19" s="479" t="s">
        <v>477</v>
      </c>
      <c r="G19" s="479" t="s">
        <v>80</v>
      </c>
      <c r="H19" s="480"/>
      <c r="I19" s="480"/>
      <c r="J19" s="481"/>
      <c r="K19" s="481"/>
      <c r="L19" s="482"/>
      <c r="M19" s="481"/>
      <c r="N19" s="482"/>
      <c r="O19" s="484"/>
      <c r="P19" s="481"/>
      <c r="Q19" s="478" t="s">
        <v>410</v>
      </c>
    </row>
    <row r="20" spans="1:17">
      <c r="A20" s="478">
        <v>108</v>
      </c>
      <c r="B20" s="478">
        <v>113</v>
      </c>
      <c r="C20" s="478" t="s">
        <v>462</v>
      </c>
      <c r="D20" s="478" t="s">
        <v>43</v>
      </c>
      <c r="E20" s="478" t="s">
        <v>276</v>
      </c>
      <c r="F20" s="479" t="s">
        <v>478</v>
      </c>
      <c r="G20" s="479" t="s">
        <v>80</v>
      </c>
      <c r="H20" s="480"/>
      <c r="I20" s="480"/>
      <c r="J20" s="481"/>
      <c r="K20" s="481"/>
      <c r="L20" s="482"/>
      <c r="M20" s="481"/>
      <c r="N20" s="482"/>
      <c r="O20" s="484"/>
      <c r="P20" s="481"/>
      <c r="Q20" s="478" t="s">
        <v>410</v>
      </c>
    </row>
    <row r="21" spans="1:17">
      <c r="F21" s="36"/>
      <c r="G21" s="36"/>
      <c r="H21" s="318"/>
      <c r="I21" s="318"/>
      <c r="J21" s="11"/>
      <c r="K21" s="11"/>
      <c r="L21" s="404"/>
      <c r="M21" s="11"/>
      <c r="N21" s="404"/>
      <c r="O21" s="355"/>
      <c r="P21" s="11"/>
    </row>
    <row r="22" spans="1:17">
      <c r="F22" s="36"/>
      <c r="G22" s="36"/>
      <c r="H22" s="318"/>
      <c r="I22" s="318"/>
      <c r="J22" s="11"/>
      <c r="K22" s="11"/>
      <c r="L22" s="404"/>
      <c r="M22" s="11"/>
      <c r="N22" s="404"/>
      <c r="O22" s="355"/>
      <c r="P22" s="11"/>
    </row>
    <row r="23" spans="1:17">
      <c r="F23" s="36"/>
      <c r="G23" s="36"/>
      <c r="H23" s="318"/>
      <c r="I23" s="318"/>
      <c r="J23" s="11"/>
      <c r="K23" s="11"/>
      <c r="L23" s="404"/>
      <c r="M23" s="11"/>
      <c r="N23" s="404"/>
      <c r="O23" s="355"/>
      <c r="P23" s="11"/>
    </row>
    <row r="24" spans="1:17">
      <c r="F24" s="36"/>
      <c r="G24" s="36"/>
      <c r="H24" s="318"/>
      <c r="I24" s="318"/>
      <c r="J24" s="11"/>
      <c r="K24" s="11"/>
      <c r="L24" s="404"/>
      <c r="M24" s="11"/>
      <c r="N24" s="404"/>
      <c r="O24" s="355"/>
      <c r="P24" s="11"/>
    </row>
    <row r="25" spans="1:17">
      <c r="F25" s="36"/>
      <c r="G25" s="36"/>
      <c r="H25" s="318"/>
      <c r="I25" s="318"/>
      <c r="J25" s="11"/>
      <c r="K25" s="11"/>
      <c r="L25" s="404"/>
      <c r="M25" s="11"/>
      <c r="N25" s="404"/>
      <c r="O25" s="355"/>
      <c r="P25" s="11"/>
    </row>
    <row r="26" spans="1:17">
      <c r="F26" s="36"/>
      <c r="G26" s="36"/>
      <c r="H26" s="318"/>
      <c r="I26" s="318"/>
      <c r="J26" s="11"/>
      <c r="K26" s="11"/>
      <c r="L26" s="404"/>
      <c r="M26" s="11"/>
      <c r="N26" s="404"/>
      <c r="O26" s="355"/>
      <c r="P26" s="11"/>
    </row>
    <row r="27" spans="1:17">
      <c r="F27" s="36"/>
      <c r="G27" s="36"/>
      <c r="H27" s="318"/>
      <c r="I27" s="318"/>
      <c r="J27" s="11"/>
      <c r="K27" s="11"/>
      <c r="L27" s="404"/>
      <c r="M27" s="11"/>
      <c r="N27" s="404"/>
      <c r="O27" s="355"/>
      <c r="P27" s="11"/>
    </row>
    <row r="28" spans="1:17">
      <c r="F28" s="36"/>
      <c r="G28" s="36"/>
      <c r="H28" s="318"/>
      <c r="I28" s="318"/>
      <c r="J28" s="11"/>
      <c r="K28" s="11"/>
      <c r="L28" s="404"/>
      <c r="M28" s="11"/>
      <c r="N28" s="404"/>
      <c r="O28" s="355"/>
      <c r="P28" s="11"/>
    </row>
    <row r="29" spans="1:17">
      <c r="F29" s="36"/>
      <c r="G29" s="36"/>
      <c r="H29" s="27"/>
      <c r="I29" s="27"/>
      <c r="J29" s="11"/>
      <c r="K29" s="11"/>
      <c r="L29" s="45"/>
      <c r="M29" s="11"/>
      <c r="N29" s="45"/>
      <c r="O29" s="54"/>
      <c r="P29" s="11"/>
    </row>
    <row r="30" spans="1:17">
      <c r="F30" s="36"/>
      <c r="G30" s="36"/>
      <c r="H30" s="27"/>
      <c r="I30" s="27"/>
      <c r="J30" s="11"/>
      <c r="K30" s="11"/>
      <c r="L30" s="45"/>
      <c r="M30" s="11"/>
      <c r="N30" s="45"/>
      <c r="O30" s="54"/>
      <c r="P30" s="11"/>
    </row>
    <row r="31" spans="1:17">
      <c r="F31" s="36"/>
      <c r="G31" s="36"/>
      <c r="H31" s="60"/>
      <c r="I31" s="60"/>
      <c r="J31" s="11"/>
      <c r="K31" s="11"/>
      <c r="L31" s="45"/>
      <c r="M31" s="11"/>
      <c r="N31" s="45"/>
      <c r="O31" s="54"/>
      <c r="P31" s="11"/>
    </row>
    <row r="32" spans="1:17">
      <c r="A32" s="43"/>
      <c r="B32" s="43"/>
      <c r="C32" s="43"/>
      <c r="D32" s="43"/>
      <c r="E32" s="1"/>
      <c r="F32" s="13" t="s">
        <v>19</v>
      </c>
      <c r="H32" s="280">
        <f>SUM(H7:H31)</f>
        <v>146500000</v>
      </c>
      <c r="I32" s="280">
        <f>SUM(I7:I31)</f>
        <v>146500000</v>
      </c>
      <c r="J32" s="10"/>
      <c r="K32" s="10"/>
      <c r="L32" s="280">
        <f>SUM(L7:L31)</f>
        <v>136500000</v>
      </c>
      <c r="M32" s="10"/>
      <c r="N32" s="280">
        <f>SUM(N7:N31)</f>
        <v>37999339.689999998</v>
      </c>
      <c r="O32" s="280">
        <f>SUM(O7:O31)</f>
        <v>108500660.31</v>
      </c>
    </row>
    <row r="33" spans="1:17" s="1" customFormat="1">
      <c r="A33" s="5"/>
      <c r="B33" s="5"/>
      <c r="C33" s="5"/>
      <c r="D33" s="91"/>
      <c r="F33" s="13"/>
      <c r="H33" s="78"/>
      <c r="J33" s="11"/>
      <c r="K33" s="11"/>
      <c r="L33" s="9"/>
      <c r="M33" s="6"/>
      <c r="Q33" s="13"/>
    </row>
    <row r="34" spans="1:17" s="1" customFormat="1">
      <c r="A34" s="5"/>
      <c r="B34" s="5"/>
      <c r="C34" s="5"/>
      <c r="E34" s="5"/>
      <c r="F34" s="13" t="s">
        <v>43</v>
      </c>
      <c r="G34" s="5"/>
      <c r="H34" s="34">
        <f>H32-I32</f>
        <v>0</v>
      </c>
      <c r="I34" s="9"/>
      <c r="L34" s="9"/>
      <c r="Q34" s="13"/>
    </row>
    <row r="35" spans="1:17" s="1" customFormat="1">
      <c r="A35" s="5"/>
      <c r="B35" s="5"/>
      <c r="C35" s="5"/>
      <c r="E35" s="5"/>
      <c r="G35" s="5"/>
      <c r="H35" s="69"/>
      <c r="I35" s="9"/>
      <c r="K35" s="142"/>
      <c r="L35" s="9"/>
      <c r="N35" s="78"/>
      <c r="Q35" s="13"/>
    </row>
    <row r="36" spans="1:17" s="1" customFormat="1">
      <c r="A36" s="5"/>
      <c r="B36" s="5"/>
      <c r="C36" s="5"/>
      <c r="E36" s="137"/>
      <c r="F36" s="59" t="s">
        <v>75</v>
      </c>
      <c r="G36" s="5"/>
      <c r="H36" s="79">
        <f>+E1-I32+O32+G40</f>
        <v>127780535.31</v>
      </c>
      <c r="I36" s="325"/>
      <c r="J36" s="142"/>
      <c r="L36" s="85"/>
      <c r="M36" s="142"/>
      <c r="Q36" s="13"/>
    </row>
    <row r="37" spans="1:17">
      <c r="H37" s="61"/>
      <c r="I37" s="61"/>
    </row>
    <row r="38" spans="1:17">
      <c r="A38" s="5"/>
      <c r="B38" s="5"/>
      <c r="C38" s="5"/>
    </row>
    <row r="39" spans="1:17">
      <c r="A39" s="5"/>
      <c r="B39" s="5"/>
      <c r="C39" s="5"/>
    </row>
    <row r="40" spans="1:17">
      <c r="A40" s="5"/>
      <c r="B40" s="5"/>
      <c r="C40" s="5"/>
      <c r="G40" s="334"/>
    </row>
    <row r="43" spans="1:17">
      <c r="J43" s="13" t="s">
        <v>7</v>
      </c>
    </row>
    <row r="48" spans="1:17">
      <c r="A48" s="43"/>
      <c r="B48" s="43"/>
      <c r="C48" s="43"/>
      <c r="D48" s="43"/>
      <c r="E48" s="43"/>
      <c r="F48" s="43"/>
      <c r="G48" s="43"/>
      <c r="H48" s="43"/>
    </row>
    <row r="51" spans="1:8">
      <c r="A51" s="43"/>
      <c r="B51" s="43"/>
      <c r="C51" s="43"/>
      <c r="D51" s="43"/>
      <c r="E51" s="43"/>
      <c r="F51" s="43"/>
      <c r="G51" s="43"/>
      <c r="H51" s="43"/>
    </row>
    <row r="53" spans="1:8">
      <c r="A53" s="43"/>
      <c r="B53" s="43"/>
      <c r="C53" s="43"/>
      <c r="D53" s="43"/>
      <c r="E53" s="43"/>
      <c r="F53" s="43"/>
      <c r="G53" s="43"/>
      <c r="H53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4"/>
  <sheetViews>
    <sheetView zoomScaleNormal="100" workbookViewId="0">
      <selection activeCell="H30" sqref="H30"/>
    </sheetView>
  </sheetViews>
  <sheetFormatPr defaultColWidth="10.875" defaultRowHeight="12"/>
  <cols>
    <col min="1" max="1" width="8.625" style="13" customWidth="1"/>
    <col min="2" max="2" width="6.625" style="13" bestFit="1" customWidth="1"/>
    <col min="3" max="3" width="9.25" style="13" bestFit="1" customWidth="1"/>
    <col min="4" max="4" width="12.125" style="13" bestFit="1" customWidth="1"/>
    <col min="5" max="5" width="25.125" style="13" customWidth="1"/>
    <col min="6" max="6" width="33" style="13" customWidth="1"/>
    <col min="7" max="7" width="12.125" style="13" bestFit="1" customWidth="1"/>
    <col min="8" max="8" width="14.375" style="12" bestFit="1" customWidth="1"/>
    <col min="9" max="9" width="13.625" style="35" bestFit="1" customWidth="1"/>
    <col min="10" max="10" width="14.375" style="13" bestFit="1" customWidth="1"/>
    <col min="11" max="11" width="9.75" style="13" bestFit="1" customWidth="1"/>
    <col min="12" max="12" width="12.875" style="35" bestFit="1" customWidth="1"/>
    <col min="13" max="13" width="9.75" style="13" bestFit="1" customWidth="1"/>
    <col min="14" max="14" width="12.25" style="12" bestFit="1" customWidth="1"/>
    <col min="15" max="15" width="12.625" style="12" bestFit="1" customWidth="1"/>
    <col min="16" max="16" width="10.875" style="13" customWidth="1"/>
    <col min="17" max="17" width="9" style="13" bestFit="1" customWidth="1"/>
    <col min="18" max="18" width="39.25" style="13" bestFit="1" customWidth="1"/>
    <col min="19" max="19" width="18.62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ROUND(Totals!$H$8*Totals!$P$14, 0)</f>
        <v>54684952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0"/>
      <c r="B3" s="43"/>
      <c r="C3" s="43"/>
      <c r="E3" s="36"/>
      <c r="F3" s="36"/>
      <c r="G3" s="36"/>
      <c r="H3" s="44"/>
      <c r="I3" s="89"/>
      <c r="L3" s="13"/>
      <c r="M3" s="11"/>
      <c r="N3" s="44"/>
      <c r="O3" s="44"/>
      <c r="P3" s="11"/>
      <c r="Q3" s="1"/>
      <c r="R3" s="306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 s="477" customFormat="1">
      <c r="A7" s="477">
        <v>2</v>
      </c>
      <c r="B7" s="477">
        <v>2</v>
      </c>
      <c r="C7" s="477">
        <v>4951</v>
      </c>
      <c r="D7" s="477" t="s">
        <v>203</v>
      </c>
      <c r="E7" s="477" t="s">
        <v>141</v>
      </c>
      <c r="F7" s="486" t="s">
        <v>283</v>
      </c>
      <c r="G7" s="486" t="s">
        <v>142</v>
      </c>
      <c r="H7" s="475">
        <v>35000000</v>
      </c>
      <c r="I7" s="496">
        <v>35000000</v>
      </c>
      <c r="J7" s="487">
        <v>43476</v>
      </c>
      <c r="K7" s="487">
        <f>J7+35</f>
        <v>43511</v>
      </c>
      <c r="L7" s="496">
        <v>35000000</v>
      </c>
      <c r="M7" s="487">
        <f>J7+180</f>
        <v>43656</v>
      </c>
      <c r="N7" s="488">
        <v>0</v>
      </c>
      <c r="O7" s="489">
        <f>L7-N7</f>
        <v>35000000</v>
      </c>
      <c r="P7" s="487">
        <v>43551</v>
      </c>
      <c r="Q7" s="477" t="s">
        <v>253</v>
      </c>
      <c r="R7" s="490" t="s">
        <v>630</v>
      </c>
    </row>
    <row r="8" spans="1:22">
      <c r="A8" s="478">
        <v>5</v>
      </c>
      <c r="B8" s="478">
        <v>6</v>
      </c>
      <c r="C8" s="478" t="s">
        <v>479</v>
      </c>
      <c r="D8" s="478" t="s">
        <v>43</v>
      </c>
      <c r="E8" s="478" t="s">
        <v>141</v>
      </c>
      <c r="F8" s="479" t="s">
        <v>483</v>
      </c>
      <c r="G8" s="479" t="s">
        <v>484</v>
      </c>
      <c r="H8" s="480"/>
      <c r="I8" s="480"/>
      <c r="J8" s="481"/>
      <c r="K8" s="481"/>
      <c r="L8" s="482"/>
      <c r="M8" s="481"/>
      <c r="N8" s="482"/>
      <c r="O8" s="484"/>
      <c r="P8" s="481"/>
      <c r="Q8" s="478" t="s">
        <v>253</v>
      </c>
    </row>
    <row r="9" spans="1:22" s="5" customFormat="1">
      <c r="A9" s="13">
        <v>14</v>
      </c>
      <c r="B9" s="13">
        <v>24</v>
      </c>
      <c r="C9" s="13">
        <v>4993</v>
      </c>
      <c r="D9" s="13" t="s">
        <v>204</v>
      </c>
      <c r="E9" s="13" t="s">
        <v>98</v>
      </c>
      <c r="F9" s="36" t="s">
        <v>485</v>
      </c>
      <c r="G9" s="36" t="s">
        <v>79</v>
      </c>
      <c r="H9" s="318">
        <v>20000000</v>
      </c>
      <c r="I9" s="318">
        <v>20000000</v>
      </c>
      <c r="J9" s="11">
        <v>43495</v>
      </c>
      <c r="K9" s="11">
        <f>J9+35</f>
        <v>43530</v>
      </c>
      <c r="L9" s="318">
        <v>20000000</v>
      </c>
      <c r="M9" s="11">
        <f>J9+180</f>
        <v>43675</v>
      </c>
      <c r="N9" s="404">
        <v>0</v>
      </c>
      <c r="O9" s="355">
        <f>L9-N9</f>
        <v>20000000</v>
      </c>
      <c r="P9" s="11">
        <v>43680</v>
      </c>
      <c r="Q9" s="13" t="s">
        <v>272</v>
      </c>
      <c r="R9" s="473" t="s">
        <v>665</v>
      </c>
      <c r="S9" s="447" t="s">
        <v>688</v>
      </c>
    </row>
    <row r="10" spans="1:22">
      <c r="A10" s="478">
        <v>27</v>
      </c>
      <c r="B10" s="478">
        <v>41</v>
      </c>
      <c r="C10" s="478" t="s">
        <v>480</v>
      </c>
      <c r="D10" s="478" t="s">
        <v>43</v>
      </c>
      <c r="E10" s="478" t="s">
        <v>143</v>
      </c>
      <c r="F10" s="479" t="s">
        <v>486</v>
      </c>
      <c r="G10" s="479" t="s">
        <v>79</v>
      </c>
      <c r="H10" s="480"/>
      <c r="I10" s="480"/>
      <c r="J10" s="481"/>
      <c r="K10" s="481"/>
      <c r="L10" s="482"/>
      <c r="M10" s="481"/>
      <c r="N10" s="482"/>
      <c r="O10" s="484"/>
      <c r="P10" s="481"/>
      <c r="Q10" s="478" t="s">
        <v>253</v>
      </c>
    </row>
    <row r="11" spans="1:22">
      <c r="A11" s="13">
        <v>44</v>
      </c>
      <c r="B11" s="13">
        <v>59</v>
      </c>
      <c r="C11" s="13" t="s">
        <v>481</v>
      </c>
      <c r="D11" s="13" t="s">
        <v>203</v>
      </c>
      <c r="E11" s="13" t="s">
        <v>98</v>
      </c>
      <c r="F11" s="36" t="s">
        <v>487</v>
      </c>
      <c r="G11" s="36" t="s">
        <v>79</v>
      </c>
      <c r="H11" s="318">
        <v>0</v>
      </c>
      <c r="I11" s="318"/>
      <c r="J11" s="11"/>
      <c r="K11" s="11"/>
      <c r="L11" s="404"/>
      <c r="M11" s="11"/>
      <c r="N11" s="404"/>
      <c r="O11" s="355"/>
      <c r="P11" s="11"/>
      <c r="Q11" s="13" t="s">
        <v>252</v>
      </c>
    </row>
    <row r="12" spans="1:22">
      <c r="A12" s="478">
        <v>46</v>
      </c>
      <c r="B12" s="478">
        <v>61</v>
      </c>
      <c r="C12" s="478" t="s">
        <v>482</v>
      </c>
      <c r="D12" s="478" t="s">
        <v>43</v>
      </c>
      <c r="E12" s="478" t="s">
        <v>287</v>
      </c>
      <c r="F12" s="479" t="s">
        <v>288</v>
      </c>
      <c r="G12" s="479" t="s">
        <v>79</v>
      </c>
      <c r="H12" s="480"/>
      <c r="I12" s="480"/>
      <c r="J12" s="481"/>
      <c r="K12" s="481"/>
      <c r="L12" s="482"/>
      <c r="M12" s="481"/>
      <c r="N12" s="482"/>
      <c r="O12" s="484"/>
      <c r="P12" s="481"/>
      <c r="Q12" s="478" t="s">
        <v>253</v>
      </c>
    </row>
    <row r="13" spans="1:22">
      <c r="A13" s="478">
        <v>48</v>
      </c>
      <c r="B13" s="478">
        <v>65</v>
      </c>
      <c r="C13" s="478" t="s">
        <v>488</v>
      </c>
      <c r="D13" s="478" t="s">
        <v>43</v>
      </c>
      <c r="E13" s="478" t="s">
        <v>287</v>
      </c>
      <c r="F13" s="479" t="s">
        <v>334</v>
      </c>
      <c r="G13" s="479" t="s">
        <v>79</v>
      </c>
      <c r="H13" s="480"/>
      <c r="I13" s="480"/>
      <c r="J13" s="481"/>
      <c r="K13" s="481"/>
      <c r="L13" s="482"/>
      <c r="M13" s="481"/>
      <c r="N13" s="482"/>
      <c r="O13" s="484"/>
      <c r="P13" s="481"/>
      <c r="Q13" s="478" t="s">
        <v>410</v>
      </c>
    </row>
    <row r="14" spans="1:22">
      <c r="A14" s="13">
        <v>54</v>
      </c>
      <c r="B14" s="13">
        <v>70</v>
      </c>
      <c r="C14" s="13" t="s">
        <v>489</v>
      </c>
      <c r="D14" s="13" t="s">
        <v>203</v>
      </c>
      <c r="E14" s="13" t="s">
        <v>98</v>
      </c>
      <c r="F14" s="36" t="s">
        <v>213</v>
      </c>
      <c r="G14" s="36" t="s">
        <v>79</v>
      </c>
      <c r="H14" s="318">
        <v>0</v>
      </c>
      <c r="I14" s="318"/>
      <c r="J14" s="11"/>
      <c r="K14" s="11"/>
      <c r="L14" s="404"/>
      <c r="M14" s="11"/>
      <c r="N14" s="404"/>
      <c r="O14" s="355"/>
      <c r="P14" s="11"/>
      <c r="Q14" s="13" t="s">
        <v>410</v>
      </c>
      <c r="R14" s="13" t="s">
        <v>682</v>
      </c>
    </row>
    <row r="15" spans="1:22">
      <c r="A15" s="478">
        <v>67</v>
      </c>
      <c r="B15" s="478">
        <v>80</v>
      </c>
      <c r="C15" s="478" t="s">
        <v>490</v>
      </c>
      <c r="D15" s="478" t="s">
        <v>43</v>
      </c>
      <c r="E15" s="478" t="s">
        <v>141</v>
      </c>
      <c r="F15" s="479" t="s">
        <v>498</v>
      </c>
      <c r="G15" s="479" t="s">
        <v>499</v>
      </c>
      <c r="H15" s="480"/>
      <c r="I15" s="480"/>
      <c r="J15" s="481"/>
      <c r="K15" s="481"/>
      <c r="L15" s="482"/>
      <c r="M15" s="481"/>
      <c r="N15" s="482"/>
      <c r="O15" s="484"/>
      <c r="P15" s="481"/>
      <c r="Q15" s="478" t="s">
        <v>410</v>
      </c>
    </row>
    <row r="16" spans="1:22">
      <c r="A16" s="478">
        <v>75</v>
      </c>
      <c r="B16" s="478">
        <v>85</v>
      </c>
      <c r="C16" s="478" t="s">
        <v>491</v>
      </c>
      <c r="D16" s="478" t="s">
        <v>43</v>
      </c>
      <c r="E16" s="478" t="s">
        <v>141</v>
      </c>
      <c r="F16" s="479" t="s">
        <v>281</v>
      </c>
      <c r="G16" s="479" t="s">
        <v>282</v>
      </c>
      <c r="H16" s="480"/>
      <c r="I16" s="480"/>
      <c r="J16" s="481"/>
      <c r="K16" s="481"/>
      <c r="L16" s="482"/>
      <c r="M16" s="481"/>
      <c r="N16" s="482"/>
      <c r="O16" s="484"/>
      <c r="P16" s="481"/>
      <c r="Q16" s="478" t="s">
        <v>410</v>
      </c>
    </row>
    <row r="17" spans="1:19">
      <c r="A17" s="13">
        <v>91</v>
      </c>
      <c r="B17" s="13">
        <v>98</v>
      </c>
      <c r="C17" s="13">
        <v>5007</v>
      </c>
      <c r="D17" s="13" t="s">
        <v>204</v>
      </c>
      <c r="E17" s="13" t="s">
        <v>98</v>
      </c>
      <c r="F17" s="36" t="s">
        <v>179</v>
      </c>
      <c r="G17" s="36" t="s">
        <v>79</v>
      </c>
      <c r="H17" s="318">
        <v>8000000</v>
      </c>
      <c r="I17" s="318">
        <v>8000000</v>
      </c>
      <c r="J17" s="11">
        <v>43511</v>
      </c>
      <c r="K17" s="11">
        <f>J17+35</f>
        <v>43546</v>
      </c>
      <c r="L17" s="318">
        <v>8000000</v>
      </c>
      <c r="M17" s="11">
        <f>J17+180</f>
        <v>43691</v>
      </c>
      <c r="N17" s="404">
        <v>0</v>
      </c>
      <c r="O17" s="355">
        <f>L17-N17</f>
        <v>8000000</v>
      </c>
      <c r="P17" s="11">
        <v>43686</v>
      </c>
      <c r="Q17" s="13" t="s">
        <v>410</v>
      </c>
      <c r="R17" s="498" t="s">
        <v>686</v>
      </c>
      <c r="S17" s="338" t="s">
        <v>687</v>
      </c>
    </row>
    <row r="18" spans="1:19">
      <c r="A18" s="478">
        <v>94</v>
      </c>
      <c r="B18" s="478">
        <v>101</v>
      </c>
      <c r="C18" s="478" t="s">
        <v>492</v>
      </c>
      <c r="D18" s="478" t="s">
        <v>43</v>
      </c>
      <c r="E18" s="478" t="s">
        <v>287</v>
      </c>
      <c r="F18" s="479" t="s">
        <v>500</v>
      </c>
      <c r="G18" s="479" t="s">
        <v>79</v>
      </c>
      <c r="H18" s="480"/>
      <c r="I18" s="480"/>
      <c r="J18" s="481"/>
      <c r="K18" s="481"/>
      <c r="L18" s="482"/>
      <c r="M18" s="481"/>
      <c r="N18" s="482"/>
      <c r="O18" s="484"/>
      <c r="P18" s="481"/>
      <c r="Q18" s="478" t="s">
        <v>410</v>
      </c>
    </row>
    <row r="19" spans="1:19">
      <c r="A19" s="478">
        <v>106</v>
      </c>
      <c r="B19" s="478">
        <v>111</v>
      </c>
      <c r="C19" s="478" t="s">
        <v>493</v>
      </c>
      <c r="D19" s="478" t="s">
        <v>43</v>
      </c>
      <c r="E19" s="478" t="s">
        <v>141</v>
      </c>
      <c r="F19" s="479" t="s">
        <v>501</v>
      </c>
      <c r="G19" s="479" t="s">
        <v>502</v>
      </c>
      <c r="H19" s="480"/>
      <c r="I19" s="480"/>
      <c r="J19" s="481"/>
      <c r="K19" s="481"/>
      <c r="L19" s="482"/>
      <c r="M19" s="481"/>
      <c r="N19" s="482"/>
      <c r="O19" s="484"/>
      <c r="P19" s="481"/>
      <c r="Q19" s="478" t="s">
        <v>410</v>
      </c>
    </row>
    <row r="20" spans="1:19">
      <c r="A20" s="13">
        <v>111</v>
      </c>
      <c r="B20" s="13">
        <v>115</v>
      </c>
      <c r="C20" s="13" t="s">
        <v>494</v>
      </c>
      <c r="D20" s="13" t="s">
        <v>203</v>
      </c>
      <c r="E20" s="13" t="s">
        <v>98</v>
      </c>
      <c r="F20" s="36" t="s">
        <v>228</v>
      </c>
      <c r="G20" s="36" t="s">
        <v>79</v>
      </c>
      <c r="H20" s="318">
        <v>0</v>
      </c>
      <c r="I20" s="318"/>
      <c r="J20" s="11"/>
      <c r="K20" s="11"/>
      <c r="L20" s="404"/>
      <c r="M20" s="11"/>
      <c r="N20" s="404"/>
      <c r="O20" s="355"/>
      <c r="P20" s="11"/>
      <c r="Q20" s="13" t="s">
        <v>410</v>
      </c>
      <c r="R20" s="13" t="s">
        <v>685</v>
      </c>
    </row>
    <row r="21" spans="1:19">
      <c r="A21" s="478">
        <v>117</v>
      </c>
      <c r="B21" s="478">
        <v>120</v>
      </c>
      <c r="C21" s="478" t="s">
        <v>495</v>
      </c>
      <c r="D21" s="478" t="s">
        <v>43</v>
      </c>
      <c r="E21" s="478" t="s">
        <v>141</v>
      </c>
      <c r="F21" s="479" t="s">
        <v>503</v>
      </c>
      <c r="G21" s="479" t="s">
        <v>142</v>
      </c>
      <c r="H21" s="480"/>
      <c r="I21" s="480"/>
      <c r="J21" s="481"/>
      <c r="K21" s="481"/>
      <c r="L21" s="482"/>
      <c r="M21" s="481"/>
      <c r="N21" s="482"/>
      <c r="O21" s="484"/>
      <c r="P21" s="481"/>
      <c r="Q21" s="478" t="s">
        <v>410</v>
      </c>
    </row>
    <row r="22" spans="1:19">
      <c r="A22" s="13">
        <v>120</v>
      </c>
      <c r="B22" s="13">
        <v>123</v>
      </c>
      <c r="C22" s="13" t="s">
        <v>496</v>
      </c>
      <c r="D22" s="13" t="s">
        <v>203</v>
      </c>
      <c r="E22" s="13" t="s">
        <v>141</v>
      </c>
      <c r="F22" s="36" t="s">
        <v>504</v>
      </c>
      <c r="G22" s="36" t="s">
        <v>282</v>
      </c>
      <c r="H22" s="318">
        <v>0</v>
      </c>
      <c r="I22" s="318"/>
      <c r="J22" s="11"/>
      <c r="K22" s="11"/>
      <c r="L22" s="404"/>
      <c r="M22" s="11"/>
      <c r="N22" s="404"/>
      <c r="O22" s="355"/>
      <c r="P22" s="11"/>
      <c r="Q22" s="13" t="s">
        <v>410</v>
      </c>
    </row>
    <row r="23" spans="1:19">
      <c r="A23" s="13">
        <v>122</v>
      </c>
      <c r="B23" s="13">
        <v>124</v>
      </c>
      <c r="C23" s="13" t="s">
        <v>497</v>
      </c>
      <c r="D23" s="13" t="s">
        <v>203</v>
      </c>
      <c r="E23" s="13" t="s">
        <v>98</v>
      </c>
      <c r="F23" s="36" t="s">
        <v>505</v>
      </c>
      <c r="G23" s="36" t="s">
        <v>180</v>
      </c>
      <c r="H23" s="318">
        <v>0</v>
      </c>
      <c r="I23" s="318"/>
      <c r="J23" s="11"/>
      <c r="K23" s="11"/>
      <c r="L23" s="404"/>
      <c r="M23" s="11"/>
      <c r="N23" s="404"/>
      <c r="O23" s="355"/>
      <c r="P23" s="11"/>
      <c r="Q23" s="13" t="s">
        <v>410</v>
      </c>
    </row>
    <row r="24" spans="1:19">
      <c r="A24" s="13">
        <v>124</v>
      </c>
      <c r="B24" s="13">
        <v>126</v>
      </c>
      <c r="C24" s="13" t="s">
        <v>506</v>
      </c>
      <c r="D24" s="13" t="s">
        <v>203</v>
      </c>
      <c r="E24" s="13" t="s">
        <v>98</v>
      </c>
      <c r="F24" s="36" t="s">
        <v>507</v>
      </c>
      <c r="G24" s="36" t="s">
        <v>79</v>
      </c>
      <c r="H24" s="318">
        <v>0</v>
      </c>
      <c r="I24" s="318"/>
      <c r="J24" s="11"/>
      <c r="K24" s="11"/>
      <c r="L24" s="404"/>
      <c r="M24" s="11"/>
      <c r="N24" s="404"/>
      <c r="O24" s="355"/>
      <c r="P24" s="11"/>
      <c r="Q24" s="13" t="s">
        <v>508</v>
      </c>
    </row>
    <row r="25" spans="1:19">
      <c r="A25" s="13">
        <v>126</v>
      </c>
      <c r="B25" s="13">
        <v>127</v>
      </c>
      <c r="C25" s="13">
        <v>5009</v>
      </c>
      <c r="D25" s="13" t="s">
        <v>204</v>
      </c>
      <c r="E25" s="13" t="s">
        <v>98</v>
      </c>
      <c r="F25" s="36" t="s">
        <v>212</v>
      </c>
      <c r="G25" s="36" t="s">
        <v>79</v>
      </c>
      <c r="H25" s="318">
        <v>7000000</v>
      </c>
      <c r="I25" s="318">
        <v>7000000</v>
      </c>
      <c r="J25" s="11">
        <v>43519</v>
      </c>
      <c r="K25" s="11">
        <f>J25+35</f>
        <v>43554</v>
      </c>
      <c r="L25" s="318">
        <v>7000000</v>
      </c>
      <c r="M25" s="11">
        <f>J25+180</f>
        <v>43699</v>
      </c>
      <c r="N25" s="404">
        <v>0</v>
      </c>
      <c r="O25" s="355">
        <f>L25-N25</f>
        <v>7000000</v>
      </c>
      <c r="P25" s="11">
        <v>43690</v>
      </c>
      <c r="Q25" s="13" t="s">
        <v>508</v>
      </c>
      <c r="S25" s="338" t="s">
        <v>687</v>
      </c>
    </row>
    <row r="26" spans="1:19">
      <c r="A26" s="43"/>
      <c r="B26" s="43"/>
      <c r="C26" s="43"/>
      <c r="D26" s="43"/>
      <c r="E26" s="1"/>
      <c r="F26" s="13" t="s">
        <v>19</v>
      </c>
      <c r="H26" s="280">
        <f>SUM(H7:H25)</f>
        <v>70000000</v>
      </c>
      <c r="I26" s="280">
        <f>SUM(I7:I25)</f>
        <v>70000000</v>
      </c>
      <c r="J26" s="10"/>
      <c r="K26" s="10"/>
      <c r="L26" s="280">
        <f>SUM(L7:L25)</f>
        <v>70000000</v>
      </c>
      <c r="M26" s="10"/>
      <c r="N26" s="280">
        <f>SUM(N7:N25)</f>
        <v>0</v>
      </c>
      <c r="O26" s="280">
        <f>SUM(O7:O25)</f>
        <v>70000000</v>
      </c>
    </row>
    <row r="27" spans="1:19" s="1" customFormat="1">
      <c r="A27" s="5"/>
      <c r="B27" s="5"/>
      <c r="C27" s="5"/>
      <c r="D27" s="91"/>
      <c r="F27" s="13"/>
      <c r="H27" s="78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0</v>
      </c>
      <c r="I28" s="9"/>
      <c r="L28" s="9"/>
      <c r="Q28" s="13"/>
    </row>
    <row r="29" spans="1:19" s="1" customFormat="1">
      <c r="A29" s="5"/>
      <c r="B29" s="5"/>
      <c r="C29" s="5"/>
      <c r="E29" s="5"/>
      <c r="G29" s="5"/>
      <c r="H29" s="69"/>
      <c r="I29" s="9"/>
      <c r="K29" s="142"/>
      <c r="L29" s="9"/>
      <c r="M29" s="3"/>
      <c r="N29" s="78"/>
      <c r="Q29" s="13"/>
    </row>
    <row r="30" spans="1:19" s="1" customFormat="1">
      <c r="A30" s="5"/>
      <c r="B30" s="5"/>
      <c r="C30" s="5"/>
      <c r="E30" s="137"/>
      <c r="F30" s="59" t="s">
        <v>10</v>
      </c>
      <c r="G30" s="5"/>
      <c r="H30" s="79">
        <f>E1-I26+O26+G35</f>
        <v>54684952</v>
      </c>
      <c r="I30" s="325"/>
      <c r="J30" s="142"/>
      <c r="L30" s="9"/>
      <c r="M30" s="3"/>
      <c r="Q30" s="13"/>
    </row>
    <row r="31" spans="1:19">
      <c r="A31" s="43"/>
      <c r="B31" s="43"/>
      <c r="C31" s="43"/>
      <c r="D31" s="1"/>
      <c r="E31" s="1"/>
      <c r="F31" s="1"/>
      <c r="G31" s="1"/>
      <c r="H31" s="9"/>
      <c r="I31" s="34"/>
      <c r="N31" s="513"/>
    </row>
    <row r="32" spans="1:19">
      <c r="A32" s="43"/>
      <c r="B32" s="43"/>
      <c r="C32" s="43"/>
      <c r="D32" s="1"/>
      <c r="E32" s="1"/>
      <c r="F32" s="1"/>
      <c r="G32" s="318"/>
      <c r="H32" s="9"/>
      <c r="I32" s="34"/>
      <c r="L32" s="531"/>
      <c r="N32" s="513"/>
    </row>
    <row r="33" spans="3:14">
      <c r="C33" s="43"/>
      <c r="D33" s="43"/>
      <c r="E33" s="152"/>
      <c r="F33" s="152"/>
      <c r="G33" s="318"/>
      <c r="H33" s="317"/>
      <c r="L33" s="526"/>
      <c r="N33" s="513"/>
    </row>
    <row r="34" spans="3:14">
      <c r="C34" s="43"/>
      <c r="D34" s="43"/>
      <c r="E34" s="152"/>
      <c r="F34" s="152"/>
      <c r="G34" s="318"/>
      <c r="H34" s="223"/>
      <c r="L34" s="513"/>
      <c r="N34" s="531"/>
    </row>
    <row r="35" spans="3:14">
      <c r="G35" s="335">
        <f>SUM(G33:G34)</f>
        <v>0</v>
      </c>
      <c r="L35" s="513"/>
    </row>
    <row r="36" spans="3:14">
      <c r="H36" s="63"/>
      <c r="I36" s="63"/>
    </row>
    <row r="37" spans="3:14">
      <c r="I37" s="34"/>
    </row>
    <row r="44" spans="3:14">
      <c r="J44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8.375" style="13" customWidth="1"/>
    <col min="2" max="2" width="6.625" style="13" bestFit="1" customWidth="1"/>
    <col min="3" max="3" width="9.25" style="13" bestFit="1" customWidth="1"/>
    <col min="4" max="4" width="12.125" style="13" bestFit="1" customWidth="1"/>
    <col min="5" max="5" width="20.625" style="13" customWidth="1"/>
    <col min="6" max="6" width="29.375" style="13" customWidth="1"/>
    <col min="7" max="7" width="10" style="13" bestFit="1" customWidth="1"/>
    <col min="8" max="8" width="16" style="12" bestFit="1" customWidth="1"/>
    <col min="9" max="9" width="16" style="35" bestFit="1" customWidth="1"/>
    <col min="10" max="10" width="13.75" style="13" customWidth="1"/>
    <col min="11" max="11" width="9.75" style="13" bestFit="1" customWidth="1"/>
    <col min="12" max="12" width="16" style="35" bestFit="1" customWidth="1"/>
    <col min="13" max="13" width="11" style="13" bestFit="1" customWidth="1"/>
    <col min="14" max="14" width="12.875" style="52" bestFit="1" customWidth="1"/>
    <col min="15" max="15" width="12" style="12" bestFit="1" customWidth="1"/>
    <col min="16" max="16" width="12.375" style="13" bestFit="1" customWidth="1"/>
    <col min="17" max="17" width="9" style="13" bestFit="1" customWidth="1"/>
    <col min="18" max="18" width="41.375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ROUND(Totals!$H$8*Totals!$P$15, 0)</f>
        <v>28495355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5"/>
      <c r="J3" s="11"/>
      <c r="K3" s="11"/>
      <c r="L3" s="45"/>
      <c r="M3" s="11"/>
      <c r="N3" s="51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 s="477" customFormat="1">
      <c r="A7" s="477">
        <v>113</v>
      </c>
      <c r="B7" s="477">
        <v>57</v>
      </c>
      <c r="C7" s="477">
        <v>5014</v>
      </c>
      <c r="D7" s="477" t="s">
        <v>204</v>
      </c>
      <c r="E7" s="477" t="s">
        <v>290</v>
      </c>
      <c r="F7" s="486" t="s">
        <v>509</v>
      </c>
      <c r="G7" s="486" t="s">
        <v>291</v>
      </c>
      <c r="H7" s="475">
        <v>20000000</v>
      </c>
      <c r="I7" s="475">
        <v>20000000</v>
      </c>
      <c r="J7" s="487">
        <v>43523</v>
      </c>
      <c r="K7" s="487">
        <f>J7+35</f>
        <v>43558</v>
      </c>
      <c r="L7" s="475">
        <v>20000000</v>
      </c>
      <c r="M7" s="487">
        <f>J7+180</f>
        <v>43703</v>
      </c>
      <c r="N7" s="475">
        <v>17100000</v>
      </c>
      <c r="O7" s="475">
        <f>L7-N7</f>
        <v>2900000</v>
      </c>
      <c r="P7" s="487">
        <v>43705</v>
      </c>
      <c r="Q7" s="477" t="s">
        <v>344</v>
      </c>
      <c r="R7" s="490" t="s">
        <v>698</v>
      </c>
    </row>
    <row r="8" spans="1:22">
      <c r="F8" s="36"/>
      <c r="G8" s="36"/>
      <c r="H8" s="27"/>
      <c r="I8" s="27"/>
      <c r="J8" s="11"/>
      <c r="K8" s="11"/>
      <c r="L8" s="355"/>
      <c r="M8" s="11"/>
      <c r="N8" s="355"/>
      <c r="O8" s="355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80">
        <f>SUM(H7:H8)</f>
        <v>20000000</v>
      </c>
      <c r="I9" s="280">
        <f>SUM(I7:I8)</f>
        <v>20000000</v>
      </c>
      <c r="J9" s="10"/>
      <c r="K9" s="10"/>
      <c r="L9" s="280">
        <f>SUM(L7:L8)</f>
        <v>20000000</v>
      </c>
      <c r="M9" s="10"/>
      <c r="N9" s="280">
        <f>SUM(N7:N8)</f>
        <v>17100000</v>
      </c>
      <c r="O9" s="280">
        <f>SUM(O7:O8)</f>
        <v>2900000</v>
      </c>
    </row>
    <row r="10" spans="1:22" s="1" customFormat="1">
      <c r="A10" s="5"/>
      <c r="B10" s="5"/>
      <c r="C10" s="5"/>
      <c r="D10" s="91"/>
      <c r="F10" s="13"/>
      <c r="H10" s="78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9"/>
      <c r="I12" s="9"/>
      <c r="K12" s="142"/>
      <c r="L12" s="9"/>
      <c r="N12" s="78"/>
      <c r="Q12" s="13"/>
    </row>
    <row r="13" spans="1:22" s="1" customFormat="1">
      <c r="A13" s="5"/>
      <c r="B13" s="5"/>
      <c r="C13" s="5"/>
      <c r="E13" s="137"/>
      <c r="F13" s="59" t="s">
        <v>10</v>
      </c>
      <c r="G13" s="5"/>
      <c r="H13" s="79">
        <f>E1-I9+O9+G17</f>
        <v>11395355</v>
      </c>
      <c r="I13" s="325"/>
      <c r="J13" s="142"/>
      <c r="L13" s="9"/>
      <c r="M13" s="142"/>
      <c r="N13" s="2"/>
      <c r="Q13" s="13"/>
    </row>
    <row r="14" spans="1:22" s="1" customFormat="1">
      <c r="A14" s="5"/>
      <c r="B14" s="5"/>
      <c r="C14" s="5"/>
      <c r="E14" s="137"/>
      <c r="F14" s="59"/>
      <c r="G14" s="5"/>
      <c r="H14" s="128"/>
      <c r="I14" s="325"/>
      <c r="J14" s="142"/>
      <c r="L14" s="9"/>
      <c r="M14" s="142"/>
      <c r="N14" s="2"/>
      <c r="Q14" s="13"/>
    </row>
    <row r="15" spans="1:22">
      <c r="H15" s="66"/>
    </row>
    <row r="16" spans="1:22">
      <c r="F16" s="5"/>
      <c r="H16" s="68"/>
    </row>
    <row r="17" spans="7:8">
      <c r="G17" s="335">
        <f>SUM(G15:G16)</f>
        <v>0</v>
      </c>
      <c r="H17" s="68"/>
    </row>
    <row r="18" spans="7:8">
      <c r="H18" s="68"/>
    </row>
    <row r="19" spans="7:8">
      <c r="H19" s="66"/>
    </row>
    <row r="20" spans="7:8">
      <c r="H20" s="66"/>
    </row>
    <row r="21" spans="7:8">
      <c r="H21" s="66"/>
    </row>
    <row r="22" spans="7:8">
      <c r="H22" s="66"/>
    </row>
    <row r="23" spans="7:8">
      <c r="H23" s="66"/>
    </row>
    <row r="24" spans="7:8">
      <c r="H24" s="66"/>
    </row>
    <row r="25" spans="7:8">
      <c r="H25" s="66"/>
    </row>
    <row r="26" spans="7:8">
      <c r="H26" s="66"/>
    </row>
    <row r="27" spans="7:8">
      <c r="H27" s="66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32"/>
  <sheetViews>
    <sheetView zoomScaleNormal="100" workbookViewId="0">
      <selection activeCell="H19" sqref="H19"/>
    </sheetView>
  </sheetViews>
  <sheetFormatPr defaultColWidth="10.875" defaultRowHeight="12"/>
  <cols>
    <col min="1" max="1" width="8.625" style="13" customWidth="1"/>
    <col min="2" max="2" width="6.625" style="13" bestFit="1" customWidth="1"/>
    <col min="3" max="3" width="9.25" style="13" bestFit="1" customWidth="1"/>
    <col min="4" max="4" width="12.125" style="13" bestFit="1" customWidth="1"/>
    <col min="5" max="5" width="17" style="13" bestFit="1" customWidth="1"/>
    <col min="6" max="6" width="33.375" style="13" bestFit="1" customWidth="1"/>
    <col min="7" max="7" width="13.625" style="13" customWidth="1"/>
    <col min="8" max="8" width="16" style="12" bestFit="1" customWidth="1"/>
    <col min="9" max="9" width="16" style="35" bestFit="1" customWidth="1"/>
    <col min="10" max="10" width="13.75" style="13" customWidth="1"/>
    <col min="11" max="11" width="9.75" style="13" bestFit="1" customWidth="1"/>
    <col min="12" max="12" width="16" style="35" bestFit="1" customWidth="1"/>
    <col min="13" max="13" width="9.75" style="13" bestFit="1" customWidth="1"/>
    <col min="14" max="14" width="12.875" style="52" bestFit="1" customWidth="1"/>
    <col min="15" max="15" width="12" style="12" bestFit="1" customWidth="1"/>
    <col min="16" max="16" width="12.375" style="13" bestFit="1" customWidth="1"/>
    <col min="17" max="17" width="9" style="13" bestFit="1" customWidth="1"/>
    <col min="18" max="18" width="42.375" style="13" bestFit="1" customWidth="1"/>
    <col min="19" max="19" width="11.75" style="13" bestFit="1" customWidth="1"/>
    <col min="20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ROUND(Totals!$H$8*Totals!$P$16, 0)</f>
        <v>60672048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5"/>
      <c r="J3" s="11"/>
      <c r="K3" s="11"/>
      <c r="L3" s="45"/>
      <c r="M3" s="11"/>
      <c r="N3" s="51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>
      <c r="A7" s="13">
        <v>97</v>
      </c>
      <c r="B7" s="13">
        <v>40</v>
      </c>
      <c r="C7" s="13">
        <v>4952</v>
      </c>
      <c r="D7" s="13" t="s">
        <v>203</v>
      </c>
      <c r="E7" s="13" t="s">
        <v>292</v>
      </c>
      <c r="F7" s="36" t="s">
        <v>510</v>
      </c>
      <c r="G7" s="36" t="s">
        <v>81</v>
      </c>
      <c r="H7" s="318">
        <v>28500000</v>
      </c>
      <c r="I7" s="318">
        <v>28500000</v>
      </c>
      <c r="J7" s="11">
        <v>43476</v>
      </c>
      <c r="K7" s="11">
        <f>J7+35</f>
        <v>43511</v>
      </c>
      <c r="L7" s="318">
        <v>0</v>
      </c>
      <c r="M7" s="11">
        <f>J7+180</f>
        <v>43656</v>
      </c>
      <c r="N7" s="318">
        <v>0</v>
      </c>
      <c r="O7" s="355">
        <f>I7-L7</f>
        <v>28500000</v>
      </c>
      <c r="P7" s="11">
        <v>43511</v>
      </c>
      <c r="Q7" s="13" t="s">
        <v>344</v>
      </c>
      <c r="R7" s="476" t="s">
        <v>630</v>
      </c>
    </row>
    <row r="8" spans="1:22">
      <c r="A8" s="13" t="s">
        <v>147</v>
      </c>
      <c r="B8" s="13" t="s">
        <v>147</v>
      </c>
      <c r="C8" s="13">
        <v>4956</v>
      </c>
      <c r="D8" s="13" t="s">
        <v>204</v>
      </c>
      <c r="E8" s="13" t="s">
        <v>511</v>
      </c>
      <c r="F8" s="36" t="s">
        <v>512</v>
      </c>
      <c r="G8" s="36" t="s">
        <v>513</v>
      </c>
      <c r="H8" s="318">
        <v>25000000</v>
      </c>
      <c r="I8" s="318">
        <v>25000000</v>
      </c>
      <c r="J8" s="11">
        <v>43477</v>
      </c>
      <c r="K8" s="11">
        <f>J8+35</f>
        <v>43512</v>
      </c>
      <c r="L8" s="318">
        <v>25000000</v>
      </c>
      <c r="M8" s="11">
        <f>J8+180</f>
        <v>43657</v>
      </c>
      <c r="N8" s="318">
        <v>18660000</v>
      </c>
      <c r="O8" s="318">
        <f>L8-N8</f>
        <v>6340000</v>
      </c>
      <c r="P8" s="11">
        <v>43666</v>
      </c>
      <c r="Q8" s="13" t="s">
        <v>508</v>
      </c>
      <c r="R8" s="402"/>
    </row>
    <row r="9" spans="1:22" s="477" customFormat="1">
      <c r="A9" s="477" t="s">
        <v>147</v>
      </c>
      <c r="B9" s="477" t="s">
        <v>147</v>
      </c>
      <c r="C9" s="477">
        <v>5010</v>
      </c>
      <c r="D9" s="477" t="s">
        <v>204</v>
      </c>
      <c r="E9" s="477" t="s">
        <v>292</v>
      </c>
      <c r="F9" s="486" t="s">
        <v>510</v>
      </c>
      <c r="G9" s="486" t="s">
        <v>81</v>
      </c>
      <c r="H9" s="475">
        <v>28500000</v>
      </c>
      <c r="I9" s="475">
        <v>28500000</v>
      </c>
      <c r="J9" s="487">
        <v>43519</v>
      </c>
      <c r="K9" s="487">
        <f>J9+35</f>
        <v>43554</v>
      </c>
      <c r="L9" s="475">
        <v>28500000</v>
      </c>
      <c r="M9" s="487">
        <f>J9+180</f>
        <v>43699</v>
      </c>
      <c r="N9" s="475">
        <v>25000000</v>
      </c>
      <c r="O9" s="475">
        <f>L9-N9</f>
        <v>3500000</v>
      </c>
      <c r="P9" s="487">
        <v>43712</v>
      </c>
      <c r="Q9" s="477" t="s">
        <v>344</v>
      </c>
      <c r="R9" s="555" t="s">
        <v>694</v>
      </c>
      <c r="S9" s="556"/>
    </row>
    <row r="10" spans="1:22">
      <c r="F10" s="36"/>
      <c r="G10" s="36"/>
      <c r="H10" s="318"/>
      <c r="I10" s="318"/>
      <c r="J10" s="11"/>
      <c r="K10" s="11"/>
      <c r="L10" s="318"/>
      <c r="M10" s="11"/>
      <c r="N10" s="318"/>
      <c r="O10" s="318"/>
      <c r="P10" s="11"/>
      <c r="R10" s="43"/>
    </row>
    <row r="11" spans="1:22">
      <c r="F11" s="36"/>
      <c r="G11" s="36"/>
      <c r="H11" s="318"/>
      <c r="I11" s="318"/>
      <c r="J11" s="11"/>
      <c r="K11" s="11"/>
      <c r="L11" s="318"/>
      <c r="M11" s="11"/>
      <c r="N11" s="318"/>
      <c r="O11" s="318"/>
      <c r="P11" s="11"/>
      <c r="R11" s="43"/>
    </row>
    <row r="12" spans="1:22">
      <c r="F12" s="36"/>
      <c r="G12" s="36"/>
      <c r="H12" s="318"/>
      <c r="I12" s="318"/>
      <c r="J12" s="11"/>
      <c r="K12" s="11"/>
      <c r="L12" s="318"/>
      <c r="M12" s="11"/>
      <c r="N12" s="318"/>
      <c r="O12" s="318"/>
      <c r="P12" s="11"/>
      <c r="R12" s="43"/>
    </row>
    <row r="13" spans="1:22">
      <c r="F13" s="36"/>
      <c r="G13" s="36"/>
      <c r="H13" s="318"/>
      <c r="I13" s="318"/>
      <c r="J13" s="11"/>
      <c r="K13" s="11"/>
      <c r="L13" s="318"/>
      <c r="M13" s="11"/>
      <c r="N13" s="318"/>
      <c r="O13" s="318"/>
      <c r="P13" s="11"/>
      <c r="R13" s="43"/>
    </row>
    <row r="14" spans="1:22">
      <c r="F14" s="36"/>
      <c r="G14" s="36"/>
      <c r="H14" s="27"/>
      <c r="I14" s="27"/>
      <c r="J14" s="11"/>
      <c r="K14" s="11"/>
      <c r="L14" s="355"/>
      <c r="M14" s="11"/>
      <c r="N14" s="355"/>
      <c r="O14" s="355"/>
      <c r="P14" s="11"/>
      <c r="R14" s="43"/>
    </row>
    <row r="15" spans="1:22">
      <c r="A15" s="43"/>
      <c r="B15" s="43"/>
      <c r="C15" s="43"/>
      <c r="D15" s="43"/>
      <c r="E15" s="1"/>
      <c r="F15" s="13" t="s">
        <v>19</v>
      </c>
      <c r="H15" s="280">
        <f>SUM(H7:H14)</f>
        <v>82000000</v>
      </c>
      <c r="I15" s="280">
        <f>SUM(I7:I14)</f>
        <v>82000000</v>
      </c>
      <c r="J15" s="10"/>
      <c r="K15" s="10"/>
      <c r="L15" s="280">
        <f>SUM(L7:L14)</f>
        <v>53500000</v>
      </c>
      <c r="M15" s="10"/>
      <c r="N15" s="280">
        <f>SUM(N7:N14)</f>
        <v>43660000</v>
      </c>
      <c r="O15" s="280">
        <f>SUM(O7:O14)</f>
        <v>38340000</v>
      </c>
    </row>
    <row r="16" spans="1:22" s="1" customFormat="1">
      <c r="A16" s="5"/>
      <c r="B16" s="5"/>
      <c r="C16" s="5"/>
      <c r="D16" s="91"/>
      <c r="F16" s="13"/>
      <c r="H16" s="78"/>
      <c r="J16" s="11"/>
      <c r="K16" s="11"/>
      <c r="L16" s="9"/>
      <c r="M16" s="6"/>
      <c r="Q16" s="13"/>
    </row>
    <row r="17" spans="1:17" s="1" customFormat="1">
      <c r="A17" s="5"/>
      <c r="B17" s="5"/>
      <c r="C17" s="5"/>
      <c r="E17" s="5"/>
      <c r="F17" s="13" t="s">
        <v>43</v>
      </c>
      <c r="G17" s="5"/>
      <c r="H17" s="34">
        <f>H15-I15</f>
        <v>0</v>
      </c>
      <c r="I17" s="9"/>
      <c r="L17" s="9"/>
      <c r="M17" s="3"/>
      <c r="Q17" s="13"/>
    </row>
    <row r="18" spans="1:17" s="1" customFormat="1">
      <c r="A18" s="5"/>
      <c r="B18" s="5"/>
      <c r="C18" s="5"/>
      <c r="E18" s="5"/>
      <c r="G18" s="5"/>
      <c r="H18" s="69"/>
      <c r="I18" s="9"/>
      <c r="K18" s="142"/>
      <c r="L18" s="9"/>
      <c r="M18" s="3"/>
      <c r="N18" s="78"/>
      <c r="Q18" s="13"/>
    </row>
    <row r="19" spans="1:17" s="1" customFormat="1">
      <c r="A19" s="5"/>
      <c r="B19" s="5"/>
      <c r="C19" s="5"/>
      <c r="E19" s="137"/>
      <c r="F19" s="59" t="s">
        <v>75</v>
      </c>
      <c r="G19" s="5"/>
      <c r="H19" s="79">
        <f>E1-I15+O15+G22</f>
        <v>17012048</v>
      </c>
      <c r="I19" s="325"/>
      <c r="J19" s="142"/>
      <c r="L19" s="9"/>
      <c r="M19" s="142"/>
      <c r="Q19" s="13"/>
    </row>
    <row r="20" spans="1:17">
      <c r="H20" s="66"/>
    </row>
    <row r="21" spans="1:17">
      <c r="G21" s="10"/>
      <c r="H21" s="68"/>
    </row>
    <row r="22" spans="1:17">
      <c r="G22" s="406">
        <f>SUM(G21)</f>
        <v>0</v>
      </c>
      <c r="H22" s="68"/>
    </row>
    <row r="23" spans="1:17">
      <c r="H23" s="68"/>
    </row>
    <row r="24" spans="1:17">
      <c r="H24" s="66"/>
    </row>
    <row r="25" spans="1:17">
      <c r="H25" s="66"/>
    </row>
    <row r="26" spans="1:17">
      <c r="H26" s="66"/>
    </row>
    <row r="27" spans="1:17">
      <c r="H27" s="66"/>
    </row>
    <row r="28" spans="1:17">
      <c r="H28" s="66"/>
    </row>
    <row r="29" spans="1:17">
      <c r="H29" s="66"/>
    </row>
    <row r="30" spans="1:17">
      <c r="H30" s="66"/>
    </row>
    <row r="31" spans="1:17">
      <c r="H31" s="66"/>
    </row>
    <row r="32" spans="1:17">
      <c r="H32" s="66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75" defaultRowHeight="12"/>
  <cols>
    <col min="1" max="1" width="8.625" style="13" customWidth="1"/>
    <col min="2" max="2" width="6.625" style="13" bestFit="1" customWidth="1"/>
    <col min="3" max="3" width="9.25" style="13" bestFit="1" customWidth="1"/>
    <col min="4" max="4" width="12.125" style="13" bestFit="1" customWidth="1"/>
    <col min="5" max="5" width="19.75" style="13" customWidth="1"/>
    <col min="6" max="6" width="23.375" style="13" customWidth="1"/>
    <col min="7" max="7" width="12.25" style="13" bestFit="1" customWidth="1"/>
    <col min="8" max="8" width="12" style="12" bestFit="1" customWidth="1"/>
    <col min="9" max="9" width="12.875" style="35" bestFit="1" customWidth="1"/>
    <col min="10" max="10" width="13.75" style="13" customWidth="1"/>
    <col min="11" max="11" width="9.625" style="13" bestFit="1" customWidth="1"/>
    <col min="12" max="12" width="12" style="35" bestFit="1" customWidth="1"/>
    <col min="13" max="13" width="10.125" style="13" bestFit="1" customWidth="1"/>
    <col min="14" max="14" width="12" style="12" customWidth="1"/>
    <col min="15" max="15" width="12.25" style="12" bestFit="1" customWidth="1"/>
    <col min="16" max="16" width="10.875" style="13" customWidth="1"/>
    <col min="17" max="17" width="9" style="13" bestFit="1" customWidth="1"/>
    <col min="18" max="18" width="41.875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ROUND(Totals!$H$8*Totals!$P$17, 0)</f>
        <v>17627843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5"/>
      <c r="J3" s="11"/>
      <c r="K3" s="11"/>
      <c r="L3" s="45"/>
      <c r="M3" s="11"/>
      <c r="N3" s="44"/>
      <c r="O3" s="44"/>
      <c r="P3" s="11"/>
      <c r="Q3" s="1"/>
      <c r="R3" s="306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 s="477" customFormat="1">
      <c r="A7" s="477" t="s">
        <v>147</v>
      </c>
      <c r="B7" s="477" t="s">
        <v>147</v>
      </c>
      <c r="C7" s="477">
        <v>5011</v>
      </c>
      <c r="D7" s="477" t="s">
        <v>717</v>
      </c>
      <c r="E7" s="477" t="s">
        <v>691</v>
      </c>
      <c r="F7" s="486" t="s">
        <v>692</v>
      </c>
      <c r="G7" s="486" t="s">
        <v>693</v>
      </c>
      <c r="H7" s="475">
        <v>17625000</v>
      </c>
      <c r="I7" s="475">
        <v>17625000</v>
      </c>
      <c r="J7" s="487">
        <v>43522</v>
      </c>
      <c r="K7" s="487">
        <f>J7+35</f>
        <v>43557</v>
      </c>
      <c r="L7" s="475">
        <v>0</v>
      </c>
      <c r="M7" s="487">
        <f>J7+180</f>
        <v>43702</v>
      </c>
      <c r="N7" s="475">
        <v>0</v>
      </c>
      <c r="O7" s="475">
        <f>I7-N7</f>
        <v>17625000</v>
      </c>
      <c r="P7" s="487">
        <v>43558</v>
      </c>
      <c r="Q7" s="477" t="s">
        <v>508</v>
      </c>
      <c r="R7" s="501"/>
    </row>
    <row r="8" spans="1:22">
      <c r="F8" s="36"/>
      <c r="G8" s="36"/>
      <c r="H8" s="318"/>
      <c r="I8" s="318"/>
      <c r="J8" s="11"/>
      <c r="K8" s="11"/>
      <c r="L8" s="355"/>
      <c r="M8" s="11"/>
      <c r="N8" s="318"/>
      <c r="O8" s="318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80">
        <f>SUM(H7:H8)</f>
        <v>17625000</v>
      </c>
      <c r="I9" s="280">
        <f>SUM(I7:I8)</f>
        <v>17625000</v>
      </c>
      <c r="J9" s="10"/>
      <c r="K9" s="10"/>
      <c r="L9" s="280">
        <f>SUM(L7:L8)</f>
        <v>0</v>
      </c>
      <c r="M9" s="10"/>
      <c r="N9" s="280">
        <f t="shared" ref="N9:O9" si="0">SUM(N7:N8)</f>
        <v>0</v>
      </c>
      <c r="O9" s="280">
        <f t="shared" si="0"/>
        <v>17625000</v>
      </c>
    </row>
    <row r="10" spans="1:22" s="1" customFormat="1">
      <c r="A10" s="5"/>
      <c r="B10" s="5"/>
      <c r="C10" s="5"/>
      <c r="D10" s="91"/>
      <c r="F10" s="13"/>
      <c r="H10" s="78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9"/>
      <c r="I12" s="9"/>
      <c r="K12" s="142"/>
      <c r="L12" s="9"/>
      <c r="M12" s="3"/>
      <c r="N12" s="78"/>
      <c r="Q12" s="13"/>
    </row>
    <row r="13" spans="1:22" s="1" customFormat="1">
      <c r="A13" s="5"/>
      <c r="B13" s="5"/>
      <c r="C13" s="5"/>
      <c r="E13" s="137"/>
      <c r="F13" s="59" t="s">
        <v>75</v>
      </c>
      <c r="G13" s="5"/>
      <c r="H13" s="79">
        <f>E1-I9+O9+G16</f>
        <v>17627843</v>
      </c>
      <c r="I13" s="325"/>
      <c r="J13" s="142"/>
      <c r="L13" s="9"/>
      <c r="M13" s="142"/>
      <c r="Q13" s="13"/>
    </row>
    <row r="14" spans="1:22">
      <c r="H14" s="66"/>
      <c r="N14" s="52"/>
    </row>
    <row r="15" spans="1:22">
      <c r="G15" s="10"/>
      <c r="H15" s="68"/>
      <c r="N15" s="52"/>
    </row>
    <row r="16" spans="1:22">
      <c r="G16" s="406">
        <f>SUM(G15)</f>
        <v>0</v>
      </c>
      <c r="H16" s="68"/>
      <c r="N16" s="52"/>
    </row>
  </sheetData>
  <phoneticPr fontId="0" type="noConversion"/>
  <pageMargins left="0.75" right="0.75" top="1" bottom="1" header="0.5" footer="0.5"/>
  <pageSetup scale="5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dimension ref="A1:T102"/>
  <sheetViews>
    <sheetView workbookViewId="0">
      <selection activeCell="F31" sqref="F31"/>
    </sheetView>
  </sheetViews>
  <sheetFormatPr defaultRowHeight="11.4"/>
  <cols>
    <col min="1" max="1" width="20.25" bestFit="1" customWidth="1"/>
    <col min="2" max="2" width="13.125" customWidth="1"/>
    <col min="3" max="3" width="40" bestFit="1" customWidth="1"/>
    <col min="4" max="4" width="46.375" bestFit="1" customWidth="1"/>
    <col min="5" max="5" width="12.125" bestFit="1" customWidth="1"/>
    <col min="6" max="7" width="15.75" bestFit="1" customWidth="1"/>
    <col min="8" max="8" width="18.125" bestFit="1" customWidth="1"/>
    <col min="9" max="9" width="11.875" bestFit="1" customWidth="1"/>
    <col min="10" max="10" width="17.375" bestFit="1" customWidth="1"/>
    <col min="11" max="11" width="11.875" bestFit="1" customWidth="1"/>
    <col min="12" max="12" width="15.125" bestFit="1" customWidth="1"/>
    <col min="13" max="13" width="18.625" bestFit="1" customWidth="1"/>
    <col min="14" max="14" width="11" bestFit="1" customWidth="1"/>
    <col min="15" max="15" width="9.75" customWidth="1"/>
    <col min="16" max="16" width="9.125" customWidth="1"/>
    <col min="17" max="17" width="12.25" bestFit="1" customWidth="1"/>
    <col min="18" max="18" width="9.125" customWidth="1"/>
    <col min="20" max="20" width="26.75" bestFit="1" customWidth="1"/>
  </cols>
  <sheetData>
    <row r="1" spans="1:20" ht="13.2">
      <c r="A1" s="165"/>
      <c r="B1" s="165" t="s">
        <v>396</v>
      </c>
      <c r="C1" s="166"/>
      <c r="D1" s="167"/>
      <c r="E1" s="169"/>
      <c r="F1" s="181"/>
      <c r="G1" s="181"/>
      <c r="H1" s="182"/>
      <c r="I1" s="182"/>
      <c r="J1" s="183"/>
      <c r="K1" s="182"/>
      <c r="L1" s="181"/>
      <c r="M1" s="182"/>
      <c r="N1" s="434"/>
      <c r="O1" s="434"/>
      <c r="P1" s="434"/>
      <c r="Q1" s="290"/>
      <c r="T1" s="392" t="s">
        <v>89</v>
      </c>
    </row>
    <row r="2" spans="1:20" ht="13.2">
      <c r="A2" s="159" t="s">
        <v>32</v>
      </c>
      <c r="B2" s="291" t="s">
        <v>37</v>
      </c>
      <c r="C2" s="292" t="s">
        <v>31</v>
      </c>
      <c r="D2" s="293" t="s">
        <v>49</v>
      </c>
      <c r="E2" s="293" t="s">
        <v>45</v>
      </c>
      <c r="F2" s="184" t="s">
        <v>84</v>
      </c>
      <c r="G2" s="184" t="s">
        <v>85</v>
      </c>
      <c r="H2" s="294" t="s">
        <v>96</v>
      </c>
      <c r="I2" s="294" t="s">
        <v>86</v>
      </c>
      <c r="J2" s="185" t="s">
        <v>87</v>
      </c>
      <c r="K2" s="294"/>
      <c r="L2" s="184" t="s">
        <v>88</v>
      </c>
      <c r="M2" s="295" t="s">
        <v>89</v>
      </c>
      <c r="N2" s="435" t="s">
        <v>22</v>
      </c>
      <c r="O2" s="437" t="s">
        <v>207</v>
      </c>
      <c r="P2" s="437" t="s">
        <v>376</v>
      </c>
      <c r="Q2" s="438" t="s">
        <v>378</v>
      </c>
      <c r="T2" s="393" t="s">
        <v>90</v>
      </c>
    </row>
    <row r="3" spans="1:20" ht="13.2">
      <c r="A3" s="159" t="s">
        <v>48</v>
      </c>
      <c r="B3" s="297"/>
      <c r="C3" s="292"/>
      <c r="D3" s="293"/>
      <c r="E3" s="293"/>
      <c r="F3" s="184" t="s">
        <v>55</v>
      </c>
      <c r="G3" s="184" t="s">
        <v>55</v>
      </c>
      <c r="H3" s="294" t="s">
        <v>9</v>
      </c>
      <c r="I3" s="294" t="s">
        <v>18</v>
      </c>
      <c r="J3" s="185" t="s">
        <v>55</v>
      </c>
      <c r="K3" s="294" t="s">
        <v>18</v>
      </c>
      <c r="L3" s="184" t="s">
        <v>55</v>
      </c>
      <c r="M3" s="295" t="s">
        <v>90</v>
      </c>
      <c r="N3" s="435" t="s">
        <v>5</v>
      </c>
      <c r="O3" s="437" t="s">
        <v>206</v>
      </c>
      <c r="P3" s="437" t="s">
        <v>377</v>
      </c>
      <c r="Q3" s="438" t="s">
        <v>379</v>
      </c>
      <c r="T3" s="393" t="s">
        <v>325</v>
      </c>
    </row>
    <row r="4" spans="1:20" ht="13.8" thickBot="1">
      <c r="A4" s="160" t="s">
        <v>17</v>
      </c>
      <c r="B4" s="161"/>
      <c r="C4" s="162"/>
      <c r="D4" s="163"/>
      <c r="E4" s="163"/>
      <c r="F4" s="186"/>
      <c r="G4" s="186"/>
      <c r="H4" s="187"/>
      <c r="I4" s="187"/>
      <c r="J4" s="188"/>
      <c r="K4" s="187"/>
      <c r="L4" s="186"/>
      <c r="M4" s="186"/>
      <c r="N4" s="436" t="s">
        <v>9</v>
      </c>
      <c r="O4" s="436"/>
      <c r="P4" s="436"/>
      <c r="Q4" s="439" t="s">
        <v>9</v>
      </c>
      <c r="T4" s="394" t="s">
        <v>398</v>
      </c>
    </row>
    <row r="5" spans="1:20">
      <c r="A5" s="31" t="s">
        <v>386</v>
      </c>
    </row>
    <row r="6" spans="1:20" s="194" customFormat="1" ht="12">
      <c r="A6" s="5" t="s">
        <v>886</v>
      </c>
      <c r="B6" s="5" t="s">
        <v>77</v>
      </c>
      <c r="C6" s="5" t="s">
        <v>76</v>
      </c>
      <c r="D6" s="5" t="s">
        <v>887</v>
      </c>
      <c r="E6" s="5" t="s">
        <v>78</v>
      </c>
      <c r="F6" s="403">
        <v>50000000</v>
      </c>
      <c r="G6" s="403">
        <f>F6</f>
        <v>50000000</v>
      </c>
      <c r="H6" s="7">
        <v>43831</v>
      </c>
      <c r="I6" s="7">
        <v>43838</v>
      </c>
      <c r="J6" s="403">
        <v>50000000</v>
      </c>
      <c r="K6" s="7">
        <v>44925</v>
      </c>
      <c r="L6" s="403"/>
      <c r="M6" s="403">
        <f t="shared" ref="M6:M19" si="0">J6-L6</f>
        <v>50000000</v>
      </c>
      <c r="N6" s="7"/>
      <c r="O6" s="5">
        <v>3</v>
      </c>
      <c r="P6" s="5">
        <v>300</v>
      </c>
      <c r="Q6" s="6">
        <v>43818</v>
      </c>
      <c r="R6" s="597"/>
      <c r="T6" s="591">
        <f t="shared" ref="T6:T18" si="1">M6</f>
        <v>50000000</v>
      </c>
    </row>
    <row r="7" spans="1:20" s="194" customFormat="1" ht="12">
      <c r="A7" s="5" t="s">
        <v>888</v>
      </c>
      <c r="B7" s="5" t="s">
        <v>77</v>
      </c>
      <c r="C7" s="5" t="s">
        <v>76</v>
      </c>
      <c r="D7" s="5" t="s">
        <v>612</v>
      </c>
      <c r="E7" s="5" t="s">
        <v>79</v>
      </c>
      <c r="F7" s="403">
        <v>29000000</v>
      </c>
      <c r="G7" s="403">
        <f>F7</f>
        <v>29000000</v>
      </c>
      <c r="H7" s="7">
        <v>43831</v>
      </c>
      <c r="I7" s="7">
        <v>43838</v>
      </c>
      <c r="J7" s="403">
        <v>29000000</v>
      </c>
      <c r="K7" s="7">
        <v>44925</v>
      </c>
      <c r="L7" s="403"/>
      <c r="M7" s="403">
        <f t="shared" si="0"/>
        <v>29000000</v>
      </c>
      <c r="N7" s="7"/>
      <c r="O7" s="5">
        <v>3</v>
      </c>
      <c r="P7" s="5">
        <v>164</v>
      </c>
      <c r="Q7" s="6">
        <v>43818</v>
      </c>
      <c r="R7" s="597"/>
      <c r="T7" s="591">
        <f t="shared" si="1"/>
        <v>29000000</v>
      </c>
    </row>
    <row r="8" spans="1:20" ht="12">
      <c r="A8" s="141"/>
      <c r="B8" s="1"/>
      <c r="C8" s="1"/>
      <c r="D8" s="1"/>
      <c r="E8" s="1"/>
      <c r="F8" s="9"/>
      <c r="G8" s="9"/>
      <c r="H8" s="3"/>
      <c r="I8" s="3"/>
      <c r="K8" s="211"/>
      <c r="M8" s="403"/>
      <c r="O8" s="13"/>
      <c r="P8" s="13"/>
      <c r="Q8" s="13"/>
      <c r="T8" s="591"/>
    </row>
    <row r="9" spans="1:20" ht="12">
      <c r="A9" s="31"/>
      <c r="H9" s="3"/>
      <c r="I9" s="3"/>
      <c r="K9" s="211"/>
      <c r="M9" s="403"/>
      <c r="P9" s="13"/>
      <c r="Q9" s="13"/>
      <c r="T9" s="591"/>
    </row>
    <row r="10" spans="1:20" ht="12.75" customHeight="1">
      <c r="A10" s="31" t="s">
        <v>152</v>
      </c>
      <c r="H10" s="3"/>
      <c r="I10" s="3"/>
      <c r="K10" s="211"/>
      <c r="M10" s="403"/>
      <c r="P10" s="13"/>
      <c r="Q10" s="13"/>
      <c r="T10" s="591"/>
    </row>
    <row r="11" spans="1:20" ht="12">
      <c r="A11" s="13" t="s">
        <v>603</v>
      </c>
      <c r="B11" s="13" t="s">
        <v>203</v>
      </c>
      <c r="C11" s="13" t="s">
        <v>98</v>
      </c>
      <c r="D11" s="13" t="s">
        <v>610</v>
      </c>
      <c r="E11" s="13" t="s">
        <v>611</v>
      </c>
      <c r="F11" s="318">
        <v>0</v>
      </c>
      <c r="G11" s="318">
        <v>0</v>
      </c>
      <c r="H11" s="3"/>
      <c r="I11" s="3"/>
      <c r="J11" s="318"/>
      <c r="K11" s="3"/>
      <c r="L11" s="318"/>
      <c r="M11" s="403"/>
      <c r="N11" s="3"/>
      <c r="O11" s="13">
        <v>3</v>
      </c>
      <c r="P11" s="13">
        <v>252</v>
      </c>
      <c r="Q11" s="11">
        <v>43466</v>
      </c>
      <c r="R11" s="469"/>
      <c r="T11" s="591"/>
    </row>
    <row r="12" spans="1:20" s="194" customFormat="1" ht="12">
      <c r="A12" s="5" t="s">
        <v>604</v>
      </c>
      <c r="B12" s="5" t="s">
        <v>77</v>
      </c>
      <c r="C12" s="5" t="s">
        <v>98</v>
      </c>
      <c r="D12" s="5" t="s">
        <v>192</v>
      </c>
      <c r="E12" s="5" t="s">
        <v>180</v>
      </c>
      <c r="F12" s="403">
        <v>50000000</v>
      </c>
      <c r="G12" s="403">
        <f t="shared" ref="G12:G17" si="2">F12</f>
        <v>50000000</v>
      </c>
      <c r="H12" s="7">
        <v>43831</v>
      </c>
      <c r="I12" s="7">
        <v>43838</v>
      </c>
      <c r="J12" s="403">
        <v>50000000</v>
      </c>
      <c r="K12" s="7">
        <v>44925</v>
      </c>
      <c r="L12" s="403"/>
      <c r="M12" s="403">
        <f t="shared" si="0"/>
        <v>50000000</v>
      </c>
      <c r="N12" s="7"/>
      <c r="O12" s="5">
        <v>3</v>
      </c>
      <c r="P12" s="5">
        <v>390</v>
      </c>
      <c r="Q12" s="6">
        <v>43466</v>
      </c>
      <c r="R12" s="597"/>
      <c r="T12" s="591">
        <f t="shared" si="1"/>
        <v>50000000</v>
      </c>
    </row>
    <row r="13" spans="1:20" ht="12">
      <c r="A13" s="13" t="s">
        <v>605</v>
      </c>
      <c r="B13" s="13" t="s">
        <v>203</v>
      </c>
      <c r="C13" s="13" t="s">
        <v>98</v>
      </c>
      <c r="D13" s="13" t="s">
        <v>612</v>
      </c>
      <c r="E13" s="13" t="s">
        <v>79</v>
      </c>
      <c r="F13" s="318">
        <v>0</v>
      </c>
      <c r="G13" s="318">
        <f t="shared" si="2"/>
        <v>0</v>
      </c>
      <c r="H13" s="3"/>
      <c r="I13" s="3"/>
      <c r="J13" s="318"/>
      <c r="K13" s="3"/>
      <c r="L13" s="318"/>
      <c r="M13" s="403"/>
      <c r="N13" s="3"/>
      <c r="O13" s="13"/>
      <c r="P13" s="13"/>
      <c r="Q13" s="11"/>
      <c r="R13" s="469"/>
      <c r="T13" s="591"/>
    </row>
    <row r="14" spans="1:20" s="194" customFormat="1" ht="12">
      <c r="A14" s="5" t="s">
        <v>606</v>
      </c>
      <c r="B14" s="5" t="s">
        <v>77</v>
      </c>
      <c r="C14" s="5" t="s">
        <v>98</v>
      </c>
      <c r="D14" s="5" t="s">
        <v>613</v>
      </c>
      <c r="E14" s="5" t="s">
        <v>79</v>
      </c>
      <c r="F14" s="403">
        <v>40000000</v>
      </c>
      <c r="G14" s="403">
        <f t="shared" si="2"/>
        <v>40000000</v>
      </c>
      <c r="H14" s="7">
        <v>43831</v>
      </c>
      <c r="I14" s="7">
        <v>43838</v>
      </c>
      <c r="J14" s="403">
        <v>40000000</v>
      </c>
      <c r="K14" s="7">
        <v>44925</v>
      </c>
      <c r="L14" s="403"/>
      <c r="M14" s="403">
        <f t="shared" si="0"/>
        <v>40000000</v>
      </c>
      <c r="N14" s="7"/>
      <c r="O14" s="5">
        <v>3</v>
      </c>
      <c r="P14" s="5">
        <v>263</v>
      </c>
      <c r="Q14" s="6">
        <v>43466</v>
      </c>
      <c r="R14" s="597"/>
      <c r="T14" s="591">
        <f t="shared" si="1"/>
        <v>40000000</v>
      </c>
    </row>
    <row r="15" spans="1:20" s="194" customFormat="1" ht="12">
      <c r="A15" s="5" t="s">
        <v>607</v>
      </c>
      <c r="B15" s="5" t="s">
        <v>77</v>
      </c>
      <c r="C15" s="5" t="s">
        <v>533</v>
      </c>
      <c r="D15" s="5" t="s">
        <v>614</v>
      </c>
      <c r="E15" s="5" t="s">
        <v>79</v>
      </c>
      <c r="F15" s="403">
        <v>61260326</v>
      </c>
      <c r="G15" s="403">
        <f t="shared" si="2"/>
        <v>61260326</v>
      </c>
      <c r="H15" s="7">
        <v>43831</v>
      </c>
      <c r="I15" s="7">
        <v>43838</v>
      </c>
      <c r="J15" s="403">
        <f>G15</f>
        <v>61260326</v>
      </c>
      <c r="K15" s="7">
        <v>44925</v>
      </c>
      <c r="L15" s="403"/>
      <c r="M15" s="403">
        <f t="shared" si="0"/>
        <v>61260326</v>
      </c>
      <c r="N15" s="7"/>
      <c r="O15" s="5">
        <v>2</v>
      </c>
      <c r="P15" s="5">
        <v>368</v>
      </c>
      <c r="Q15" s="6">
        <v>43466</v>
      </c>
      <c r="R15" s="597"/>
      <c r="T15" s="591">
        <f t="shared" si="1"/>
        <v>61260326</v>
      </c>
    </row>
    <row r="16" spans="1:20" s="194" customFormat="1" ht="12">
      <c r="A16" s="5" t="s">
        <v>608</v>
      </c>
      <c r="B16" s="5" t="s">
        <v>77</v>
      </c>
      <c r="C16" s="5" t="s">
        <v>143</v>
      </c>
      <c r="D16" s="5" t="s">
        <v>615</v>
      </c>
      <c r="E16" s="5" t="s">
        <v>79</v>
      </c>
      <c r="F16" s="403">
        <v>50000000</v>
      </c>
      <c r="G16" s="403">
        <f t="shared" si="2"/>
        <v>50000000</v>
      </c>
      <c r="H16" s="7">
        <v>43831</v>
      </c>
      <c r="I16" s="7">
        <v>43838</v>
      </c>
      <c r="J16" s="403">
        <v>50000000</v>
      </c>
      <c r="K16" s="7">
        <v>44925</v>
      </c>
      <c r="L16" s="403"/>
      <c r="M16" s="403">
        <f t="shared" si="0"/>
        <v>50000000</v>
      </c>
      <c r="N16" s="7"/>
      <c r="O16" s="5">
        <v>2</v>
      </c>
      <c r="P16" s="5">
        <v>298</v>
      </c>
      <c r="Q16" s="6">
        <v>43466</v>
      </c>
      <c r="R16" s="597"/>
      <c r="T16" s="591">
        <f t="shared" si="1"/>
        <v>50000000</v>
      </c>
    </row>
    <row r="17" spans="1:20" s="194" customFormat="1" ht="12">
      <c r="A17" s="5" t="s">
        <v>609</v>
      </c>
      <c r="B17" s="5" t="s">
        <v>77</v>
      </c>
      <c r="C17" s="5" t="s">
        <v>97</v>
      </c>
      <c r="D17" s="5" t="s">
        <v>616</v>
      </c>
      <c r="E17" s="5" t="s">
        <v>95</v>
      </c>
      <c r="F17" s="403">
        <v>30000000</v>
      </c>
      <c r="G17" s="403">
        <f t="shared" si="2"/>
        <v>30000000</v>
      </c>
      <c r="H17" s="7">
        <v>43831</v>
      </c>
      <c r="I17" s="7">
        <v>43838</v>
      </c>
      <c r="J17" s="403">
        <v>30000000</v>
      </c>
      <c r="K17" s="7">
        <v>44925</v>
      </c>
      <c r="L17" s="403"/>
      <c r="M17" s="403">
        <f t="shared" si="0"/>
        <v>30000000</v>
      </c>
      <c r="N17" s="7"/>
      <c r="O17" s="5">
        <v>2</v>
      </c>
      <c r="P17" s="5">
        <v>184</v>
      </c>
      <c r="Q17" s="6">
        <v>43466</v>
      </c>
      <c r="R17" s="597"/>
      <c r="T17" s="591">
        <f t="shared" si="1"/>
        <v>30000000</v>
      </c>
    </row>
    <row r="18" spans="1:20" s="194" customFormat="1" ht="12">
      <c r="A18" s="5" t="s">
        <v>871</v>
      </c>
      <c r="B18" s="5" t="s">
        <v>77</v>
      </c>
      <c r="C18" s="5" t="s">
        <v>545</v>
      </c>
      <c r="D18" s="5" t="s">
        <v>872</v>
      </c>
      <c r="E18" s="5" t="s">
        <v>79</v>
      </c>
      <c r="F18" s="403">
        <v>50000000</v>
      </c>
      <c r="G18" s="403">
        <f>F18</f>
        <v>50000000</v>
      </c>
      <c r="H18" s="7">
        <v>43834</v>
      </c>
      <c r="I18" s="7">
        <v>43841</v>
      </c>
      <c r="J18" s="403">
        <v>50000000</v>
      </c>
      <c r="K18" s="7">
        <v>44925</v>
      </c>
      <c r="L18" s="403"/>
      <c r="M18" s="403">
        <f t="shared" si="0"/>
        <v>50000000</v>
      </c>
      <c r="N18" s="7"/>
      <c r="O18" s="5">
        <v>3</v>
      </c>
      <c r="P18" s="5">
        <v>328</v>
      </c>
      <c r="Q18" s="6">
        <v>43812</v>
      </c>
      <c r="R18" s="597"/>
      <c r="T18" s="591">
        <f t="shared" si="1"/>
        <v>50000000</v>
      </c>
    </row>
    <row r="19" spans="1:20" s="194" customFormat="1" ht="12">
      <c r="A19" s="5" t="s">
        <v>878</v>
      </c>
      <c r="B19" s="5" t="s">
        <v>77</v>
      </c>
      <c r="C19" s="5" t="s">
        <v>324</v>
      </c>
      <c r="D19" s="5" t="s">
        <v>581</v>
      </c>
      <c r="E19" s="5" t="s">
        <v>879</v>
      </c>
      <c r="F19" s="403">
        <v>38000000</v>
      </c>
      <c r="G19" s="403">
        <f>F19</f>
        <v>38000000</v>
      </c>
      <c r="H19" s="7">
        <v>43834</v>
      </c>
      <c r="I19" s="7">
        <v>43841</v>
      </c>
      <c r="J19" s="403">
        <v>38000000</v>
      </c>
      <c r="K19" s="7">
        <v>44925</v>
      </c>
      <c r="L19" s="403"/>
      <c r="M19" s="403">
        <f t="shared" si="0"/>
        <v>38000000</v>
      </c>
      <c r="N19" s="7"/>
      <c r="O19" s="5">
        <v>3</v>
      </c>
      <c r="P19" s="5">
        <v>240</v>
      </c>
      <c r="Q19" s="6">
        <v>43813</v>
      </c>
      <c r="R19" s="597"/>
      <c r="T19" s="591">
        <f t="shared" ref="T19:T20" si="3">M19</f>
        <v>38000000</v>
      </c>
    </row>
    <row r="20" spans="1:20" s="602" customFormat="1" ht="12">
      <c r="A20" s="93" t="s">
        <v>881</v>
      </c>
      <c r="B20" s="93" t="s">
        <v>77</v>
      </c>
      <c r="C20" s="93" t="s">
        <v>144</v>
      </c>
      <c r="D20" s="93" t="s">
        <v>882</v>
      </c>
      <c r="E20" s="93" t="s">
        <v>82</v>
      </c>
      <c r="F20" s="598">
        <v>12000000</v>
      </c>
      <c r="G20" s="599">
        <v>11115876.799999714</v>
      </c>
      <c r="H20" s="600">
        <v>43839</v>
      </c>
      <c r="I20" s="600">
        <v>43847</v>
      </c>
      <c r="J20" s="599">
        <f>G20</f>
        <v>11115876.799999714</v>
      </c>
      <c r="K20" s="600">
        <v>44925</v>
      </c>
      <c r="L20" s="598"/>
      <c r="M20" s="599">
        <f>J20-L20</f>
        <v>11115876.799999714</v>
      </c>
      <c r="N20" s="600"/>
      <c r="O20" s="93">
        <v>3</v>
      </c>
      <c r="P20" s="93">
        <v>64</v>
      </c>
      <c r="Q20" s="95">
        <v>43818</v>
      </c>
      <c r="R20" s="601"/>
      <c r="T20" s="603">
        <f t="shared" si="3"/>
        <v>11115876.799999714</v>
      </c>
    </row>
    <row r="21" spans="1:20" ht="12">
      <c r="A21" s="13" t="s">
        <v>883</v>
      </c>
      <c r="B21" s="13" t="s">
        <v>43</v>
      </c>
      <c r="C21" s="13" t="s">
        <v>141</v>
      </c>
      <c r="D21" s="13" t="s">
        <v>884</v>
      </c>
      <c r="E21" s="13" t="s">
        <v>142</v>
      </c>
      <c r="F21" s="318">
        <v>10000000</v>
      </c>
      <c r="G21" s="318"/>
      <c r="H21" s="3"/>
      <c r="I21" s="3"/>
      <c r="J21" s="318"/>
      <c r="K21" s="3"/>
      <c r="L21" s="318"/>
      <c r="M21" s="318"/>
      <c r="N21" s="3"/>
      <c r="O21" s="13">
        <v>3</v>
      </c>
      <c r="P21" s="13">
        <v>336</v>
      </c>
      <c r="Q21" s="11">
        <v>43818</v>
      </c>
      <c r="R21" s="469"/>
    </row>
    <row r="22" spans="1:20" s="1" customFormat="1" ht="12">
      <c r="A22" s="141"/>
      <c r="F22" s="9"/>
      <c r="G22" s="9"/>
      <c r="H22" s="3"/>
      <c r="I22" s="3"/>
      <c r="J22" s="9"/>
      <c r="L22" s="9"/>
      <c r="M22" s="9"/>
      <c r="O22" s="13"/>
      <c r="P22" s="13"/>
      <c r="Q22" s="11"/>
    </row>
    <row r="23" spans="1:20" ht="12">
      <c r="A23" s="31" t="s">
        <v>91</v>
      </c>
      <c r="D23" s="1"/>
      <c r="H23" s="211"/>
      <c r="O23" s="13"/>
      <c r="P23" s="13"/>
      <c r="Q23" s="11"/>
    </row>
    <row r="24" spans="1:20" ht="12">
      <c r="A24" s="13" t="s">
        <v>868</v>
      </c>
      <c r="B24" s="13" t="s">
        <v>43</v>
      </c>
      <c r="C24" s="13" t="s">
        <v>301</v>
      </c>
      <c r="D24" s="13" t="s">
        <v>869</v>
      </c>
      <c r="E24" s="13" t="s">
        <v>870</v>
      </c>
      <c r="F24" s="318">
        <v>61260326</v>
      </c>
      <c r="G24" s="318"/>
      <c r="H24" s="3"/>
      <c r="I24" s="3"/>
      <c r="J24" s="318"/>
      <c r="K24" s="3"/>
      <c r="L24" s="318"/>
      <c r="M24" s="318"/>
      <c r="N24" s="3"/>
      <c r="O24" s="13">
        <v>3</v>
      </c>
      <c r="P24" s="13">
        <v>306</v>
      </c>
      <c r="Q24" s="11">
        <v>43812</v>
      </c>
      <c r="R24" s="469"/>
    </row>
    <row r="25" spans="1:20" ht="12">
      <c r="A25" s="13" t="s">
        <v>873</v>
      </c>
      <c r="B25" s="13" t="s">
        <v>43</v>
      </c>
      <c r="C25" s="13" t="s">
        <v>874</v>
      </c>
      <c r="D25" s="13" t="s">
        <v>178</v>
      </c>
      <c r="E25" s="13" t="s">
        <v>155</v>
      </c>
      <c r="F25" s="318">
        <v>61260326</v>
      </c>
      <c r="G25" s="318"/>
      <c r="H25" s="3"/>
      <c r="I25" s="3"/>
      <c r="J25" s="318"/>
      <c r="K25" s="3"/>
      <c r="L25" s="318"/>
      <c r="M25" s="318"/>
      <c r="N25" s="3"/>
      <c r="O25" s="13" t="s">
        <v>147</v>
      </c>
      <c r="P25" s="13" t="s">
        <v>147</v>
      </c>
      <c r="Q25" s="11">
        <v>43812</v>
      </c>
      <c r="R25" s="469"/>
    </row>
    <row r="26" spans="1:20" ht="12">
      <c r="A26" s="13" t="s">
        <v>875</v>
      </c>
      <c r="B26" s="13" t="s">
        <v>43</v>
      </c>
      <c r="C26" s="13" t="s">
        <v>301</v>
      </c>
      <c r="D26" s="13" t="s">
        <v>876</v>
      </c>
      <c r="E26" s="13" t="s">
        <v>877</v>
      </c>
      <c r="F26" s="318">
        <v>45000000</v>
      </c>
      <c r="G26" s="318"/>
      <c r="H26" s="3"/>
      <c r="I26" s="3"/>
      <c r="J26" s="318"/>
      <c r="K26" s="3"/>
      <c r="L26" s="318"/>
      <c r="M26" s="318"/>
      <c r="N26" s="3"/>
      <c r="O26" s="13">
        <v>3</v>
      </c>
      <c r="P26" s="13">
        <v>248</v>
      </c>
      <c r="Q26" s="11">
        <v>43813</v>
      </c>
      <c r="R26" s="469"/>
    </row>
    <row r="27" spans="1:20" ht="12">
      <c r="H27" s="211"/>
      <c r="O27" s="13"/>
      <c r="P27" s="13"/>
      <c r="Q27" s="11"/>
    </row>
    <row r="28" spans="1:20" ht="12">
      <c r="F28" s="202">
        <f>SUM(F6:F27)</f>
        <v>587780978</v>
      </c>
      <c r="G28" s="374">
        <f>SUM(G6:G27)</f>
        <v>409376202.79999971</v>
      </c>
      <c r="H28" s="158"/>
      <c r="I28" s="137"/>
      <c r="J28" s="374">
        <f>SUM(J6:J27)</f>
        <v>409376202.79999971</v>
      </c>
      <c r="K28" s="137"/>
      <c r="L28" s="202">
        <f t="shared" ref="L28:M28" si="4">SUM(L6:L27)</f>
        <v>0</v>
      </c>
      <c r="M28" s="374">
        <f t="shared" si="4"/>
        <v>409376202.79999971</v>
      </c>
    </row>
    <row r="29" spans="1:20">
      <c r="H29" s="211"/>
    </row>
    <row r="30" spans="1:20" ht="12" thickBot="1">
      <c r="G30" s="207"/>
      <c r="H30" s="211"/>
    </row>
    <row r="31" spans="1:20" ht="12.6" thickBot="1">
      <c r="D31" s="204" t="s">
        <v>157</v>
      </c>
      <c r="E31" s="205"/>
      <c r="F31" s="595">
        <f>'Aug 15'!H53-G28</f>
        <v>0</v>
      </c>
      <c r="H31" s="211"/>
      <c r="T31" s="374">
        <f>G28</f>
        <v>409376202.79999971</v>
      </c>
    </row>
    <row r="32" spans="1:20">
      <c r="F32" s="201"/>
    </row>
    <row r="33" spans="1:17" ht="12" thickBot="1">
      <c r="F33" s="207"/>
    </row>
    <row r="34" spans="1:17" ht="13.2">
      <c r="A34" s="165"/>
      <c r="B34" s="165" t="s">
        <v>864</v>
      </c>
      <c r="C34" s="135"/>
      <c r="D34" s="135"/>
      <c r="E34" s="135"/>
      <c r="F34" s="189"/>
      <c r="G34" s="189"/>
      <c r="H34" s="189"/>
      <c r="I34" s="189"/>
      <c r="J34" s="189"/>
      <c r="K34" s="189"/>
      <c r="L34" s="189"/>
      <c r="M34" s="189"/>
      <c r="N34" s="299"/>
    </row>
    <row r="35" spans="1:17" ht="13.2">
      <c r="A35" s="159" t="s">
        <v>32</v>
      </c>
      <c r="B35" s="291" t="s">
        <v>37</v>
      </c>
      <c r="C35" s="292" t="s">
        <v>31</v>
      </c>
      <c r="D35" s="300" t="s">
        <v>49</v>
      </c>
      <c r="E35" s="300"/>
      <c r="F35" s="184" t="s">
        <v>84</v>
      </c>
      <c r="G35" s="184" t="s">
        <v>383</v>
      </c>
      <c r="H35" s="294" t="s">
        <v>383</v>
      </c>
      <c r="I35" s="294"/>
      <c r="J35" s="185"/>
      <c r="K35" s="294"/>
      <c r="L35" s="184" t="s">
        <v>88</v>
      </c>
      <c r="M35" s="295" t="s">
        <v>89</v>
      </c>
      <c r="N35" s="441" t="s">
        <v>22</v>
      </c>
    </row>
    <row r="36" spans="1:17" ht="13.2">
      <c r="A36" s="159" t="s">
        <v>48</v>
      </c>
      <c r="B36" s="297"/>
      <c r="C36" s="292"/>
      <c r="D36" s="300"/>
      <c r="E36" s="300"/>
      <c r="F36" s="184" t="s">
        <v>55</v>
      </c>
      <c r="G36" s="184" t="s">
        <v>55</v>
      </c>
      <c r="H36" s="294" t="s">
        <v>9</v>
      </c>
      <c r="I36" s="294"/>
      <c r="J36" s="185"/>
      <c r="K36" s="294" t="s">
        <v>18</v>
      </c>
      <c r="L36" s="184" t="s">
        <v>55</v>
      </c>
      <c r="M36" s="295" t="s">
        <v>90</v>
      </c>
      <c r="N36" s="441" t="s">
        <v>5</v>
      </c>
    </row>
    <row r="37" spans="1:17" ht="13.8" thickBot="1">
      <c r="A37" s="160" t="s">
        <v>17</v>
      </c>
      <c r="B37" s="161"/>
      <c r="C37" s="162"/>
      <c r="D37" s="164"/>
      <c r="E37" s="164"/>
      <c r="F37" s="186"/>
      <c r="G37" s="186"/>
      <c r="H37" s="187"/>
      <c r="I37" s="187"/>
      <c r="J37" s="190"/>
      <c r="K37" s="187"/>
      <c r="L37" s="186"/>
      <c r="M37" s="186"/>
      <c r="N37" s="442" t="s">
        <v>9</v>
      </c>
    </row>
    <row r="38" spans="1:17" s="1" customFormat="1" ht="12">
      <c r="A38" s="141" t="s">
        <v>880</v>
      </c>
      <c r="B38" s="1" t="s">
        <v>43</v>
      </c>
      <c r="C38" s="1" t="s">
        <v>153</v>
      </c>
      <c r="D38" s="1" t="s">
        <v>381</v>
      </c>
      <c r="E38" s="1" t="s">
        <v>155</v>
      </c>
      <c r="F38" s="9">
        <v>600000000</v>
      </c>
      <c r="G38" s="9"/>
      <c r="H38" s="3"/>
      <c r="J38" s="9"/>
      <c r="L38" s="9"/>
      <c r="M38" s="9"/>
      <c r="O38" s="13"/>
      <c r="P38" s="13"/>
      <c r="Q38" s="11"/>
    </row>
    <row r="39" spans="1:17" ht="12" thickBot="1"/>
    <row r="40" spans="1:17" ht="12.6" thickBot="1">
      <c r="D40" s="204" t="s">
        <v>382</v>
      </c>
      <c r="E40" s="205"/>
      <c r="F40" s="208">
        <f>IF(F28&gt;=F31, 0, F31-F28)</f>
        <v>0</v>
      </c>
    </row>
    <row r="41" spans="1:17">
      <c r="F41" s="373" t="s">
        <v>865</v>
      </c>
    </row>
    <row r="42" spans="1:17" ht="12" thickBot="1"/>
    <row r="43" spans="1:17" ht="13.2">
      <c r="A43" s="165"/>
      <c r="B43" s="165" t="s">
        <v>397</v>
      </c>
      <c r="C43" s="135"/>
      <c r="D43" s="135"/>
      <c r="E43" s="135"/>
      <c r="F43" s="189"/>
      <c r="G43" s="189"/>
      <c r="H43" s="189"/>
      <c r="I43" s="189"/>
      <c r="J43" s="189"/>
      <c r="K43" s="189"/>
      <c r="L43" s="189"/>
      <c r="M43" s="189"/>
      <c r="N43" s="299"/>
    </row>
    <row r="44" spans="1:17" ht="13.2">
      <c r="A44" s="159" t="s">
        <v>32</v>
      </c>
      <c r="B44" s="291" t="s">
        <v>37</v>
      </c>
      <c r="C44" s="292" t="s">
        <v>31</v>
      </c>
      <c r="D44" s="300" t="s">
        <v>49</v>
      </c>
      <c r="E44" s="300" t="s">
        <v>45</v>
      </c>
      <c r="F44" s="184" t="s">
        <v>84</v>
      </c>
      <c r="G44" s="184" t="s">
        <v>54</v>
      </c>
      <c r="H44" s="294"/>
      <c r="I44" s="294" t="s">
        <v>34</v>
      </c>
      <c r="J44" s="185" t="s">
        <v>87</v>
      </c>
      <c r="K44" s="294"/>
      <c r="L44" s="184" t="s">
        <v>92</v>
      </c>
      <c r="M44" s="295" t="s">
        <v>89</v>
      </c>
      <c r="N44" s="296" t="s">
        <v>22</v>
      </c>
    </row>
    <row r="45" spans="1:17" ht="13.2">
      <c r="A45" s="159" t="s">
        <v>48</v>
      </c>
      <c r="B45" s="297"/>
      <c r="C45" s="292"/>
      <c r="D45" s="300"/>
      <c r="E45" s="300"/>
      <c r="F45" s="184" t="s">
        <v>55</v>
      </c>
      <c r="G45" s="184" t="s">
        <v>55</v>
      </c>
      <c r="H45" s="294" t="s">
        <v>9</v>
      </c>
      <c r="I45" s="294" t="s">
        <v>18</v>
      </c>
      <c r="J45" s="185" t="s">
        <v>55</v>
      </c>
      <c r="K45" s="294" t="s">
        <v>18</v>
      </c>
      <c r="L45" s="184" t="s">
        <v>55</v>
      </c>
      <c r="M45" s="295" t="s">
        <v>90</v>
      </c>
      <c r="N45" s="296" t="s">
        <v>5</v>
      </c>
    </row>
    <row r="46" spans="1:17" ht="13.8" thickBot="1">
      <c r="A46" s="160" t="s">
        <v>17</v>
      </c>
      <c r="B46" s="161"/>
      <c r="C46" s="162"/>
      <c r="D46" s="164"/>
      <c r="E46" s="164"/>
      <c r="F46" s="186"/>
      <c r="G46" s="186"/>
      <c r="H46" s="187"/>
      <c r="I46" s="187"/>
      <c r="J46" s="190"/>
      <c r="K46" s="187"/>
      <c r="L46" s="186"/>
      <c r="M46" s="191" t="s">
        <v>93</v>
      </c>
      <c r="N46" s="298" t="s">
        <v>9</v>
      </c>
    </row>
    <row r="47" spans="1:17">
      <c r="A47" s="168" t="s">
        <v>56</v>
      </c>
    </row>
    <row r="48" spans="1:17">
      <c r="A48" s="4"/>
    </row>
    <row r="49" spans="1:20" s="194" customFormat="1" ht="12">
      <c r="A49" s="48">
        <v>5051</v>
      </c>
      <c r="B49" s="48" t="s">
        <v>77</v>
      </c>
      <c r="C49" s="301" t="s">
        <v>815</v>
      </c>
      <c r="D49" s="301" t="s">
        <v>151</v>
      </c>
      <c r="E49" s="301" t="s">
        <v>355</v>
      </c>
      <c r="F49" s="128">
        <v>61260326</v>
      </c>
      <c r="G49" s="128">
        <v>61260326</v>
      </c>
      <c r="H49" s="7">
        <v>43658</v>
      </c>
      <c r="I49" s="192">
        <v>43693</v>
      </c>
      <c r="J49" s="128">
        <v>61260326</v>
      </c>
      <c r="K49" s="192">
        <v>43868</v>
      </c>
      <c r="L49" s="32">
        <v>0</v>
      </c>
      <c r="M49" s="128">
        <f t="shared" ref="M49:M58" si="5">J49-L49</f>
        <v>61260326</v>
      </c>
      <c r="N49" s="192">
        <v>43818</v>
      </c>
      <c r="T49" s="63">
        <f t="shared" ref="T49:T58" si="6">M49</f>
        <v>61260326</v>
      </c>
    </row>
    <row r="50" spans="1:20" s="194" customFormat="1" ht="12">
      <c r="A50" s="48">
        <v>5053</v>
      </c>
      <c r="B50" s="48" t="s">
        <v>77</v>
      </c>
      <c r="C50" s="301" t="s">
        <v>797</v>
      </c>
      <c r="D50" s="301" t="s">
        <v>356</v>
      </c>
      <c r="E50" s="301" t="s">
        <v>184</v>
      </c>
      <c r="F50" s="128">
        <v>15000000</v>
      </c>
      <c r="G50" s="128">
        <v>15000000</v>
      </c>
      <c r="H50" s="7">
        <v>43666</v>
      </c>
      <c r="I50" s="192">
        <v>43701</v>
      </c>
      <c r="J50" s="128">
        <v>15000000</v>
      </c>
      <c r="K50" s="192">
        <v>43876</v>
      </c>
      <c r="L50" s="32">
        <v>0</v>
      </c>
      <c r="M50" s="128">
        <f t="shared" si="5"/>
        <v>15000000</v>
      </c>
      <c r="N50" s="192">
        <v>43818</v>
      </c>
      <c r="T50" s="63">
        <f t="shared" si="6"/>
        <v>15000000</v>
      </c>
    </row>
    <row r="51" spans="1:20" s="194" customFormat="1" ht="12">
      <c r="A51" s="48">
        <v>5054</v>
      </c>
      <c r="B51" s="48" t="s">
        <v>77</v>
      </c>
      <c r="C51" s="301" t="s">
        <v>817</v>
      </c>
      <c r="D51" s="301" t="s">
        <v>767</v>
      </c>
      <c r="E51" s="301" t="s">
        <v>768</v>
      </c>
      <c r="F51" s="128">
        <v>25000000</v>
      </c>
      <c r="G51" s="128">
        <v>25000000</v>
      </c>
      <c r="H51" s="7">
        <v>43672</v>
      </c>
      <c r="I51" s="192">
        <v>43707</v>
      </c>
      <c r="J51" s="128">
        <v>25000000</v>
      </c>
      <c r="K51" s="192">
        <v>43882</v>
      </c>
      <c r="L51" s="32">
        <v>0</v>
      </c>
      <c r="M51" s="128">
        <f t="shared" si="5"/>
        <v>25000000</v>
      </c>
      <c r="N51" s="192">
        <v>43818</v>
      </c>
      <c r="T51" s="63">
        <f t="shared" si="6"/>
        <v>25000000</v>
      </c>
    </row>
    <row r="52" spans="1:20" s="194" customFormat="1" ht="12">
      <c r="A52" s="48">
        <v>5055</v>
      </c>
      <c r="B52" s="48" t="s">
        <v>77</v>
      </c>
      <c r="C52" s="301" t="s">
        <v>841</v>
      </c>
      <c r="D52" s="301" t="s">
        <v>767</v>
      </c>
      <c r="E52" s="301" t="s">
        <v>82</v>
      </c>
      <c r="F52" s="128">
        <v>50000000</v>
      </c>
      <c r="G52" s="128">
        <v>50000000</v>
      </c>
      <c r="H52" s="7">
        <v>43673</v>
      </c>
      <c r="I52" s="192">
        <v>43708</v>
      </c>
      <c r="J52" s="128">
        <v>50000000</v>
      </c>
      <c r="K52" s="192">
        <v>43883</v>
      </c>
      <c r="L52" s="32">
        <v>0</v>
      </c>
      <c r="M52" s="128">
        <f t="shared" si="5"/>
        <v>50000000</v>
      </c>
      <c r="N52" s="192">
        <v>43818</v>
      </c>
      <c r="T52" s="63">
        <f t="shared" si="6"/>
        <v>50000000</v>
      </c>
    </row>
    <row r="53" spans="1:20" s="194" customFormat="1" ht="12">
      <c r="A53" s="48">
        <v>5058</v>
      </c>
      <c r="B53" s="48" t="s">
        <v>77</v>
      </c>
      <c r="C53" s="301" t="s">
        <v>76</v>
      </c>
      <c r="D53" s="301" t="s">
        <v>364</v>
      </c>
      <c r="E53" s="301" t="s">
        <v>155</v>
      </c>
      <c r="F53" s="128">
        <v>387458955</v>
      </c>
      <c r="G53" s="128">
        <v>387458955</v>
      </c>
      <c r="H53" s="7">
        <v>43678</v>
      </c>
      <c r="I53" s="192">
        <v>43713</v>
      </c>
      <c r="J53" s="128">
        <v>387458955</v>
      </c>
      <c r="K53" s="192">
        <v>43888</v>
      </c>
      <c r="L53" s="32">
        <v>0</v>
      </c>
      <c r="M53" s="128">
        <f t="shared" si="5"/>
        <v>387458955</v>
      </c>
      <c r="N53" s="192">
        <v>43818</v>
      </c>
      <c r="T53" s="63">
        <f t="shared" si="6"/>
        <v>387458955</v>
      </c>
    </row>
    <row r="54" spans="1:20" s="194" customFormat="1" ht="12">
      <c r="A54" s="48">
        <v>5059</v>
      </c>
      <c r="B54" s="48" t="s">
        <v>77</v>
      </c>
      <c r="C54" s="301" t="s">
        <v>807</v>
      </c>
      <c r="D54" s="301" t="s">
        <v>365</v>
      </c>
      <c r="E54" s="301" t="s">
        <v>779</v>
      </c>
      <c r="F54" s="128">
        <v>15000000</v>
      </c>
      <c r="G54" s="128">
        <v>15000000</v>
      </c>
      <c r="H54" s="7">
        <v>43678</v>
      </c>
      <c r="I54" s="192">
        <v>43713</v>
      </c>
      <c r="J54" s="128">
        <v>15000000</v>
      </c>
      <c r="K54" s="192">
        <v>43888</v>
      </c>
      <c r="L54" s="32">
        <v>0</v>
      </c>
      <c r="M54" s="128">
        <f t="shared" si="5"/>
        <v>15000000</v>
      </c>
      <c r="N54" s="192">
        <v>43818</v>
      </c>
      <c r="T54" s="63">
        <f t="shared" si="6"/>
        <v>15000000</v>
      </c>
    </row>
    <row r="55" spans="1:20" s="194" customFormat="1" ht="12">
      <c r="A55" s="48">
        <v>5060</v>
      </c>
      <c r="B55" s="48" t="s">
        <v>77</v>
      </c>
      <c r="C55" s="301" t="s">
        <v>808</v>
      </c>
      <c r="D55" s="301" t="s">
        <v>365</v>
      </c>
      <c r="E55" s="301" t="s">
        <v>201</v>
      </c>
      <c r="F55" s="128">
        <v>2000000</v>
      </c>
      <c r="G55" s="128">
        <v>2000000</v>
      </c>
      <c r="H55" s="7">
        <v>43680</v>
      </c>
      <c r="I55" s="192">
        <v>43715</v>
      </c>
      <c r="J55" s="128">
        <v>2000000</v>
      </c>
      <c r="K55" s="192">
        <v>43890</v>
      </c>
      <c r="L55" s="32">
        <v>0</v>
      </c>
      <c r="M55" s="128">
        <f t="shared" si="5"/>
        <v>2000000</v>
      </c>
      <c r="N55" s="192">
        <v>43818</v>
      </c>
      <c r="T55" s="63">
        <f t="shared" si="6"/>
        <v>2000000</v>
      </c>
    </row>
    <row r="56" spans="1:20" s="194" customFormat="1" ht="12">
      <c r="A56" s="48">
        <v>5061</v>
      </c>
      <c r="B56" s="48" t="s">
        <v>77</v>
      </c>
      <c r="C56" s="301" t="s">
        <v>863</v>
      </c>
      <c r="D56" s="301" t="s">
        <v>778</v>
      </c>
      <c r="E56" s="301" t="s">
        <v>78</v>
      </c>
      <c r="F56" s="128">
        <v>61000000</v>
      </c>
      <c r="G56" s="128">
        <v>61000000</v>
      </c>
      <c r="H56" s="7">
        <v>43680</v>
      </c>
      <c r="I56" s="192">
        <v>43715</v>
      </c>
      <c r="J56" s="128">
        <v>61000000</v>
      </c>
      <c r="K56" s="192">
        <v>43890</v>
      </c>
      <c r="L56" s="32">
        <v>0</v>
      </c>
      <c r="M56" s="128">
        <f t="shared" si="5"/>
        <v>61000000</v>
      </c>
      <c r="N56" s="192">
        <v>43818</v>
      </c>
      <c r="T56" s="63">
        <f t="shared" si="6"/>
        <v>61000000</v>
      </c>
    </row>
    <row r="57" spans="1:20" s="194" customFormat="1" ht="12">
      <c r="A57" s="48">
        <v>5062</v>
      </c>
      <c r="B57" s="48" t="s">
        <v>77</v>
      </c>
      <c r="C57" s="301" t="s">
        <v>816</v>
      </c>
      <c r="D57" s="301" t="s">
        <v>780</v>
      </c>
      <c r="E57" s="301" t="s">
        <v>361</v>
      </c>
      <c r="F57" s="128">
        <v>40000000</v>
      </c>
      <c r="G57" s="128">
        <v>40000000</v>
      </c>
      <c r="H57" s="7">
        <v>43680</v>
      </c>
      <c r="I57" s="192">
        <v>43715</v>
      </c>
      <c r="J57" s="128">
        <v>40000000</v>
      </c>
      <c r="K57" s="192">
        <v>43890</v>
      </c>
      <c r="L57" s="32">
        <v>0</v>
      </c>
      <c r="M57" s="128">
        <f t="shared" si="5"/>
        <v>40000000</v>
      </c>
      <c r="N57" s="192">
        <v>43818</v>
      </c>
      <c r="T57" s="63">
        <f t="shared" si="6"/>
        <v>40000000</v>
      </c>
    </row>
    <row r="58" spans="1:20" s="194" customFormat="1" ht="12">
      <c r="A58" s="48">
        <v>5063</v>
      </c>
      <c r="B58" s="48" t="s">
        <v>77</v>
      </c>
      <c r="C58" s="301" t="s">
        <v>861</v>
      </c>
      <c r="D58" s="301" t="s">
        <v>780</v>
      </c>
      <c r="E58" s="301" t="s">
        <v>781</v>
      </c>
      <c r="F58" s="128">
        <v>54000000</v>
      </c>
      <c r="G58" s="128">
        <v>54000000</v>
      </c>
      <c r="H58" s="7">
        <v>43680</v>
      </c>
      <c r="I58" s="192">
        <v>43715</v>
      </c>
      <c r="J58" s="128">
        <v>54000000</v>
      </c>
      <c r="K58" s="192">
        <v>43890</v>
      </c>
      <c r="L58" s="32">
        <v>0</v>
      </c>
      <c r="M58" s="128">
        <f t="shared" si="5"/>
        <v>54000000</v>
      </c>
      <c r="N58" s="192">
        <v>43818</v>
      </c>
      <c r="T58" s="63">
        <f t="shared" si="6"/>
        <v>54000000</v>
      </c>
    </row>
    <row r="59" spans="1:20" s="194" customFormat="1" ht="12">
      <c r="A59" s="48">
        <v>5064</v>
      </c>
      <c r="B59" s="48" t="s">
        <v>77</v>
      </c>
      <c r="C59" s="301" t="s">
        <v>153</v>
      </c>
      <c r="D59" s="301" t="s">
        <v>365</v>
      </c>
      <c r="E59" s="301" t="s">
        <v>155</v>
      </c>
      <c r="F59" s="128">
        <v>116214444</v>
      </c>
      <c r="G59" s="128">
        <v>116214444</v>
      </c>
      <c r="H59" s="7">
        <v>43680</v>
      </c>
      <c r="I59" s="192">
        <v>43715</v>
      </c>
      <c r="J59" s="128">
        <v>116214444</v>
      </c>
      <c r="K59" s="192">
        <v>43890</v>
      </c>
      <c r="L59" s="32">
        <v>0</v>
      </c>
      <c r="M59" s="128">
        <f t="shared" ref="M59" si="7">J59-L59</f>
        <v>116214444</v>
      </c>
      <c r="N59" s="192">
        <v>43812</v>
      </c>
      <c r="T59" s="63">
        <f t="shared" ref="T59:T64" si="8">M59</f>
        <v>116214444</v>
      </c>
    </row>
    <row r="60" spans="1:20" s="194" customFormat="1" ht="12">
      <c r="A60" s="48">
        <v>5065</v>
      </c>
      <c r="B60" s="48" t="s">
        <v>77</v>
      </c>
      <c r="C60" s="301" t="s">
        <v>842</v>
      </c>
      <c r="D60" s="301" t="s">
        <v>782</v>
      </c>
      <c r="E60" s="301" t="s">
        <v>783</v>
      </c>
      <c r="F60" s="128">
        <v>61000000</v>
      </c>
      <c r="G60" s="128">
        <v>61000000</v>
      </c>
      <c r="H60" s="7">
        <v>43680</v>
      </c>
      <c r="I60" s="192">
        <v>43715</v>
      </c>
      <c r="J60" s="128">
        <v>61000000</v>
      </c>
      <c r="K60" s="192">
        <v>43890</v>
      </c>
      <c r="L60" s="32">
        <v>0</v>
      </c>
      <c r="M60" s="128">
        <f t="shared" ref="M60:M62" si="9">J60-L60</f>
        <v>61000000</v>
      </c>
      <c r="N60" s="192">
        <v>43818</v>
      </c>
      <c r="T60" s="63">
        <f t="shared" si="8"/>
        <v>61000000</v>
      </c>
    </row>
    <row r="61" spans="1:20" s="194" customFormat="1" ht="12">
      <c r="A61" s="48">
        <v>5066</v>
      </c>
      <c r="B61" s="48" t="s">
        <v>77</v>
      </c>
      <c r="C61" s="301" t="s">
        <v>824</v>
      </c>
      <c r="D61" s="301" t="s">
        <v>365</v>
      </c>
      <c r="E61" s="301" t="s">
        <v>785</v>
      </c>
      <c r="F61" s="128">
        <v>10000000</v>
      </c>
      <c r="G61" s="128">
        <v>10000000</v>
      </c>
      <c r="H61" s="7">
        <v>43680</v>
      </c>
      <c r="I61" s="192">
        <v>43715</v>
      </c>
      <c r="J61" s="128">
        <v>10000000</v>
      </c>
      <c r="K61" s="192">
        <v>43890</v>
      </c>
      <c r="L61" s="32">
        <v>0</v>
      </c>
      <c r="M61" s="128">
        <f t="shared" si="9"/>
        <v>10000000</v>
      </c>
      <c r="N61" s="192">
        <v>43818</v>
      </c>
      <c r="T61" s="63">
        <f t="shared" si="8"/>
        <v>10000000</v>
      </c>
    </row>
    <row r="62" spans="1:20" s="194" customFormat="1" ht="12">
      <c r="A62" s="48">
        <v>5067</v>
      </c>
      <c r="B62" s="48" t="s">
        <v>77</v>
      </c>
      <c r="C62" s="301" t="s">
        <v>798</v>
      </c>
      <c r="D62" s="301" t="s">
        <v>787</v>
      </c>
      <c r="E62" s="301" t="s">
        <v>788</v>
      </c>
      <c r="F62" s="128">
        <v>20000000</v>
      </c>
      <c r="G62" s="128">
        <v>20000000</v>
      </c>
      <c r="H62" s="7">
        <v>43680</v>
      </c>
      <c r="I62" s="192">
        <v>43715</v>
      </c>
      <c r="J62" s="128">
        <v>20000000</v>
      </c>
      <c r="K62" s="192">
        <v>43890</v>
      </c>
      <c r="L62" s="32">
        <v>0</v>
      </c>
      <c r="M62" s="128">
        <f t="shared" si="9"/>
        <v>20000000</v>
      </c>
      <c r="N62" s="192">
        <v>43818</v>
      </c>
      <c r="T62" s="63">
        <f t="shared" si="8"/>
        <v>20000000</v>
      </c>
    </row>
    <row r="63" spans="1:20" s="194" customFormat="1" ht="12">
      <c r="A63" s="48">
        <v>5068</v>
      </c>
      <c r="B63" s="48" t="s">
        <v>77</v>
      </c>
      <c r="C63" s="301" t="s">
        <v>153</v>
      </c>
      <c r="D63" s="301" t="s">
        <v>365</v>
      </c>
      <c r="E63" s="301" t="s">
        <v>155</v>
      </c>
      <c r="F63" s="128">
        <v>220210711</v>
      </c>
      <c r="G63" s="128">
        <v>220210711</v>
      </c>
      <c r="H63" s="7">
        <v>43685</v>
      </c>
      <c r="I63" s="192">
        <v>43720</v>
      </c>
      <c r="J63" s="128">
        <v>220210711</v>
      </c>
      <c r="K63" s="192">
        <v>43895</v>
      </c>
      <c r="L63" s="32">
        <v>0</v>
      </c>
      <c r="M63" s="128">
        <f t="shared" ref="M63" si="10">J63-L63</f>
        <v>220210711</v>
      </c>
      <c r="N63" s="192">
        <v>43812</v>
      </c>
      <c r="T63" s="63">
        <f t="shared" si="8"/>
        <v>220210711</v>
      </c>
    </row>
    <row r="64" spans="1:20" s="194" customFormat="1" ht="12">
      <c r="A64" s="48">
        <v>5098</v>
      </c>
      <c r="B64" s="48" t="s">
        <v>77</v>
      </c>
      <c r="C64" s="301" t="s">
        <v>76</v>
      </c>
      <c r="D64" s="301" t="s">
        <v>364</v>
      </c>
      <c r="E64" s="301" t="s">
        <v>155</v>
      </c>
      <c r="F64" s="148">
        <v>128717758.63</v>
      </c>
      <c r="G64" s="148">
        <v>128717758.63</v>
      </c>
      <c r="H64" s="7">
        <v>43783</v>
      </c>
      <c r="I64" s="192">
        <v>43818</v>
      </c>
      <c r="J64" s="148">
        <v>128717758.63</v>
      </c>
      <c r="K64" s="192">
        <v>43993</v>
      </c>
      <c r="L64" s="32">
        <v>0</v>
      </c>
      <c r="M64" s="148">
        <f t="shared" ref="M64" si="11">J64-L64</f>
        <v>128717758.63</v>
      </c>
      <c r="N64" s="192">
        <v>43818</v>
      </c>
      <c r="T64" s="593">
        <f t="shared" si="8"/>
        <v>128717758.63</v>
      </c>
    </row>
    <row r="65" spans="1:20" ht="12">
      <c r="A65" s="13"/>
      <c r="B65" s="13"/>
      <c r="C65" s="13"/>
      <c r="D65" s="13"/>
      <c r="E65" s="13"/>
      <c r="F65" s="318"/>
      <c r="G65" s="193"/>
      <c r="H65" s="193"/>
      <c r="I65" s="193"/>
      <c r="J65" s="193"/>
      <c r="K65" s="193"/>
      <c r="M65" s="215"/>
      <c r="N65" s="158"/>
    </row>
    <row r="66" spans="1:20" ht="12">
      <c r="F66" s="193"/>
      <c r="G66" s="193"/>
      <c r="H66" s="193"/>
      <c r="I66" s="193"/>
      <c r="J66" s="374">
        <f>SUM(J49:J65)</f>
        <v>1266862194.6300001</v>
      </c>
      <c r="K66" s="594"/>
      <c r="L66" s="374">
        <f>SUM(L49:L65)</f>
        <v>0</v>
      </c>
      <c r="M66" s="374">
        <f>SUM(M49:M65)</f>
        <v>1266862194.6300001</v>
      </c>
      <c r="N66" s="158"/>
      <c r="T66" s="374">
        <f>SUM(T49:T65)</f>
        <v>1266862194.6300001</v>
      </c>
    </row>
    <row r="67" spans="1:20" ht="12.6" thickBot="1">
      <c r="F67" s="193"/>
      <c r="G67" s="193"/>
      <c r="H67" s="193"/>
      <c r="I67" s="193"/>
      <c r="J67" s="193"/>
      <c r="K67" s="193"/>
      <c r="N67" s="158"/>
    </row>
    <row r="68" spans="1:20" ht="12">
      <c r="A68" s="175" t="s">
        <v>94</v>
      </c>
      <c r="F68" s="193"/>
      <c r="G68" s="196"/>
      <c r="H68" s="158"/>
      <c r="I68" s="193"/>
      <c r="J68" s="193"/>
      <c r="K68" s="321"/>
      <c r="N68" s="158"/>
    </row>
    <row r="69" spans="1:20" s="194" customFormat="1" ht="12">
      <c r="A69" s="48">
        <v>5070</v>
      </c>
      <c r="B69" s="48" t="s">
        <v>77</v>
      </c>
      <c r="C69" s="301" t="s">
        <v>471</v>
      </c>
      <c r="D69" s="301" t="s">
        <v>472</v>
      </c>
      <c r="E69" s="301" t="s">
        <v>80</v>
      </c>
      <c r="F69" s="128">
        <v>25000000</v>
      </c>
      <c r="G69" s="128">
        <v>25000000</v>
      </c>
      <c r="H69" s="7">
        <v>43698</v>
      </c>
      <c r="I69" s="192">
        <v>43733</v>
      </c>
      <c r="J69" s="128">
        <v>25000000</v>
      </c>
      <c r="K69" s="192">
        <v>43878</v>
      </c>
      <c r="L69" s="32">
        <v>0</v>
      </c>
      <c r="M69" s="128">
        <f t="shared" ref="M69:M92" si="12">J69-L69</f>
        <v>25000000</v>
      </c>
      <c r="N69" s="192">
        <v>43795</v>
      </c>
      <c r="O69"/>
      <c r="T69" s="63">
        <f t="shared" ref="T69:T74" si="13">M69</f>
        <v>25000000</v>
      </c>
    </row>
    <row r="70" spans="1:20" s="398" customFormat="1" ht="12">
      <c r="A70" s="579">
        <v>5071</v>
      </c>
      <c r="B70" s="579" t="s">
        <v>77</v>
      </c>
      <c r="C70" s="580" t="s">
        <v>463</v>
      </c>
      <c r="D70" s="580" t="s">
        <v>474</v>
      </c>
      <c r="E70" s="580" t="s">
        <v>275</v>
      </c>
      <c r="F70" s="581">
        <v>48000000</v>
      </c>
      <c r="G70" s="581">
        <v>48000000</v>
      </c>
      <c r="H70" s="582">
        <v>43698</v>
      </c>
      <c r="I70" s="583">
        <v>43733</v>
      </c>
      <c r="J70" s="581">
        <v>48000000</v>
      </c>
      <c r="K70" s="583">
        <v>43878</v>
      </c>
      <c r="L70" s="584">
        <v>0</v>
      </c>
      <c r="M70" s="581">
        <f t="shared" ref="M70" si="14">J70-L70</f>
        <v>48000000</v>
      </c>
      <c r="N70" s="583">
        <v>43811</v>
      </c>
      <c r="O70" s="408" t="s">
        <v>867</v>
      </c>
      <c r="T70" s="585">
        <f>M70-4000000</f>
        <v>44000000</v>
      </c>
    </row>
    <row r="71" spans="1:20" s="194" customFormat="1" ht="12">
      <c r="A71" s="48">
        <v>5072</v>
      </c>
      <c r="B71" s="48" t="s">
        <v>77</v>
      </c>
      <c r="C71" s="301" t="s">
        <v>287</v>
      </c>
      <c r="D71" s="301" t="s">
        <v>500</v>
      </c>
      <c r="E71" s="301" t="s">
        <v>79</v>
      </c>
      <c r="F71" s="128">
        <v>50000000</v>
      </c>
      <c r="G71" s="128">
        <v>50000000</v>
      </c>
      <c r="H71" s="7">
        <v>43698</v>
      </c>
      <c r="I71" s="192">
        <v>43733</v>
      </c>
      <c r="J71" s="128">
        <v>50000000</v>
      </c>
      <c r="K71" s="192">
        <v>43878</v>
      </c>
      <c r="L71" s="32">
        <v>0</v>
      </c>
      <c r="M71" s="128">
        <f t="shared" ref="M71" si="15">J71-L71</f>
        <v>50000000</v>
      </c>
      <c r="N71" s="192">
        <v>43829</v>
      </c>
      <c r="O71"/>
      <c r="T71" s="63">
        <f t="shared" si="13"/>
        <v>50000000</v>
      </c>
    </row>
    <row r="72" spans="1:20" s="194" customFormat="1" ht="12">
      <c r="A72" s="48">
        <v>5073</v>
      </c>
      <c r="B72" s="48" t="s">
        <v>77</v>
      </c>
      <c r="C72" s="301" t="s">
        <v>276</v>
      </c>
      <c r="D72" s="301" t="s">
        <v>475</v>
      </c>
      <c r="E72" s="301" t="s">
        <v>80</v>
      </c>
      <c r="F72" s="128">
        <v>30000000</v>
      </c>
      <c r="G72" s="128">
        <v>30000000</v>
      </c>
      <c r="H72" s="7">
        <v>43698</v>
      </c>
      <c r="I72" s="192">
        <v>43733</v>
      </c>
      <c r="J72" s="128">
        <v>30000000</v>
      </c>
      <c r="K72" s="192">
        <v>43878</v>
      </c>
      <c r="L72" s="32">
        <v>0</v>
      </c>
      <c r="M72" s="128">
        <f t="shared" si="12"/>
        <v>30000000</v>
      </c>
      <c r="N72" s="192">
        <v>43788</v>
      </c>
      <c r="O72"/>
      <c r="T72" s="63">
        <f t="shared" si="13"/>
        <v>30000000</v>
      </c>
    </row>
    <row r="73" spans="1:20" s="194" customFormat="1" ht="12">
      <c r="A73" s="48">
        <v>5074</v>
      </c>
      <c r="B73" s="48" t="s">
        <v>77</v>
      </c>
      <c r="C73" s="301" t="s">
        <v>425</v>
      </c>
      <c r="D73" s="301" t="s">
        <v>451</v>
      </c>
      <c r="E73" s="301" t="s">
        <v>78</v>
      </c>
      <c r="F73" s="128">
        <v>35000000</v>
      </c>
      <c r="G73" s="128">
        <v>35000000</v>
      </c>
      <c r="H73" s="7">
        <v>43698</v>
      </c>
      <c r="I73" s="192">
        <v>43733</v>
      </c>
      <c r="J73" s="128">
        <v>25000000</v>
      </c>
      <c r="K73" s="192">
        <v>43878</v>
      </c>
      <c r="L73" s="32">
        <v>0</v>
      </c>
      <c r="M73" s="128">
        <f t="shared" ref="M73" si="16">J73-L73</f>
        <v>25000000</v>
      </c>
      <c r="N73" s="192">
        <v>43806</v>
      </c>
      <c r="O73"/>
      <c r="T73" s="63">
        <f t="shared" si="13"/>
        <v>25000000</v>
      </c>
    </row>
    <row r="74" spans="1:20" s="194" customFormat="1" ht="12">
      <c r="A74" s="48">
        <v>5075</v>
      </c>
      <c r="B74" s="48" t="s">
        <v>77</v>
      </c>
      <c r="C74" s="301" t="s">
        <v>276</v>
      </c>
      <c r="D74" s="301" t="s">
        <v>279</v>
      </c>
      <c r="E74" s="301" t="s">
        <v>80</v>
      </c>
      <c r="F74" s="128">
        <v>35000000</v>
      </c>
      <c r="G74" s="128">
        <v>35000000</v>
      </c>
      <c r="H74" s="7">
        <v>43698</v>
      </c>
      <c r="I74" s="192">
        <v>43733</v>
      </c>
      <c r="J74" s="128">
        <v>35000000</v>
      </c>
      <c r="K74" s="192">
        <v>43878</v>
      </c>
      <c r="L74" s="32">
        <v>0</v>
      </c>
      <c r="M74" s="128">
        <f t="shared" si="12"/>
        <v>35000000</v>
      </c>
      <c r="N74" s="192">
        <v>43788</v>
      </c>
      <c r="O74"/>
      <c r="T74" s="63">
        <f t="shared" si="13"/>
        <v>35000000</v>
      </c>
    </row>
    <row r="75" spans="1:20" s="194" customFormat="1" ht="12">
      <c r="A75" s="48">
        <v>5076</v>
      </c>
      <c r="B75" s="48" t="s">
        <v>77</v>
      </c>
      <c r="C75" s="301" t="s">
        <v>425</v>
      </c>
      <c r="D75" s="301" t="s">
        <v>452</v>
      </c>
      <c r="E75" s="301" t="s">
        <v>78</v>
      </c>
      <c r="F75" s="128">
        <v>45000000</v>
      </c>
      <c r="G75" s="128">
        <v>45000000</v>
      </c>
      <c r="H75" s="7">
        <v>43699</v>
      </c>
      <c r="I75" s="192">
        <v>43734</v>
      </c>
      <c r="J75" s="128">
        <v>45000000</v>
      </c>
      <c r="K75" s="192">
        <v>43879</v>
      </c>
      <c r="L75" s="32">
        <v>0</v>
      </c>
      <c r="M75" s="128">
        <f t="shared" ref="M75" si="17">J75-L75</f>
        <v>45000000</v>
      </c>
      <c r="N75" s="192">
        <v>43806</v>
      </c>
      <c r="O75"/>
      <c r="T75" s="63">
        <f t="shared" ref="T75:T83" si="18">M75</f>
        <v>45000000</v>
      </c>
    </row>
    <row r="76" spans="1:20" s="194" customFormat="1" ht="12">
      <c r="A76" s="48">
        <v>5078</v>
      </c>
      <c r="B76" s="48" t="s">
        <v>77</v>
      </c>
      <c r="C76" s="301" t="s">
        <v>141</v>
      </c>
      <c r="D76" s="301" t="s">
        <v>503</v>
      </c>
      <c r="E76" s="301" t="s">
        <v>142</v>
      </c>
      <c r="F76" s="128">
        <v>10000000</v>
      </c>
      <c r="G76" s="128">
        <v>10000000</v>
      </c>
      <c r="H76" s="7">
        <v>43699</v>
      </c>
      <c r="I76" s="192">
        <v>43734</v>
      </c>
      <c r="J76" s="128">
        <v>10000000</v>
      </c>
      <c r="K76" s="192">
        <v>43879</v>
      </c>
      <c r="L76" s="32">
        <v>0</v>
      </c>
      <c r="M76" s="128">
        <f t="shared" si="12"/>
        <v>10000000</v>
      </c>
      <c r="N76" s="192">
        <v>43798</v>
      </c>
      <c r="O76"/>
      <c r="T76" s="63">
        <f t="shared" si="18"/>
        <v>10000000</v>
      </c>
    </row>
    <row r="77" spans="1:20" s="194" customFormat="1" ht="12">
      <c r="A77" s="48">
        <v>5079</v>
      </c>
      <c r="B77" s="48" t="s">
        <v>77</v>
      </c>
      <c r="C77" s="301" t="s">
        <v>321</v>
      </c>
      <c r="D77" s="301" t="s">
        <v>322</v>
      </c>
      <c r="E77" s="301" t="s">
        <v>323</v>
      </c>
      <c r="F77" s="128">
        <v>52000000</v>
      </c>
      <c r="G77" s="128">
        <v>52000000</v>
      </c>
      <c r="H77" s="7">
        <v>43699</v>
      </c>
      <c r="I77" s="192">
        <v>43734</v>
      </c>
      <c r="J77" s="128">
        <v>52000000</v>
      </c>
      <c r="K77" s="192">
        <v>43879</v>
      </c>
      <c r="L77" s="32">
        <v>0</v>
      </c>
      <c r="M77" s="128">
        <f t="shared" si="12"/>
        <v>52000000</v>
      </c>
      <c r="N77" s="192">
        <v>43811</v>
      </c>
      <c r="O77"/>
      <c r="T77" s="63">
        <f t="shared" si="18"/>
        <v>52000000</v>
      </c>
    </row>
    <row r="78" spans="1:20" s="194" customFormat="1" ht="12">
      <c r="A78" s="48">
        <v>5080</v>
      </c>
      <c r="B78" s="48" t="s">
        <v>77</v>
      </c>
      <c r="C78" s="301" t="s">
        <v>725</v>
      </c>
      <c r="D78" s="301" t="s">
        <v>726</v>
      </c>
      <c r="E78" s="301" t="s">
        <v>294</v>
      </c>
      <c r="F78" s="128">
        <v>35000000</v>
      </c>
      <c r="G78" s="128">
        <v>35000000</v>
      </c>
      <c r="H78" s="7">
        <v>43699</v>
      </c>
      <c r="I78" s="192">
        <v>43734</v>
      </c>
      <c r="J78" s="128">
        <v>35000000</v>
      </c>
      <c r="K78" s="192">
        <v>43879</v>
      </c>
      <c r="L78" s="32">
        <v>0</v>
      </c>
      <c r="M78" s="128">
        <f t="shared" ref="M78" si="19">J78-L78</f>
        <v>35000000</v>
      </c>
      <c r="N78" s="192">
        <v>43806</v>
      </c>
      <c r="O78"/>
      <c r="T78" s="63">
        <f t="shared" si="18"/>
        <v>35000000</v>
      </c>
    </row>
    <row r="79" spans="1:20" s="194" customFormat="1" ht="12">
      <c r="A79" s="48">
        <v>5081</v>
      </c>
      <c r="B79" s="48" t="s">
        <v>77</v>
      </c>
      <c r="C79" s="301" t="s">
        <v>165</v>
      </c>
      <c r="D79" s="301" t="s">
        <v>730</v>
      </c>
      <c r="E79" s="301" t="s">
        <v>529</v>
      </c>
      <c r="F79" s="128">
        <v>15000000</v>
      </c>
      <c r="G79" s="128">
        <v>15000000</v>
      </c>
      <c r="H79" s="7">
        <v>43699</v>
      </c>
      <c r="I79" s="192">
        <v>43734</v>
      </c>
      <c r="J79" s="128">
        <v>15000000</v>
      </c>
      <c r="K79" s="192">
        <v>43879</v>
      </c>
      <c r="L79" s="403">
        <v>0</v>
      </c>
      <c r="M79" s="128">
        <f t="shared" ref="M79" si="20">J79-L79</f>
        <v>15000000</v>
      </c>
      <c r="N79" s="192">
        <v>43816</v>
      </c>
      <c r="O79"/>
      <c r="T79" s="591">
        <f t="shared" si="18"/>
        <v>15000000</v>
      </c>
    </row>
    <row r="80" spans="1:20" s="194" customFormat="1" ht="12">
      <c r="A80" s="48">
        <v>5083</v>
      </c>
      <c r="B80" s="48" t="s">
        <v>77</v>
      </c>
      <c r="C80" s="301" t="s">
        <v>545</v>
      </c>
      <c r="D80" s="301" t="s">
        <v>732</v>
      </c>
      <c r="E80" s="301" t="s">
        <v>79</v>
      </c>
      <c r="F80" s="128">
        <v>60000000</v>
      </c>
      <c r="G80" s="128">
        <v>60000000</v>
      </c>
      <c r="H80" s="7">
        <v>43712</v>
      </c>
      <c r="I80" s="192">
        <v>43747</v>
      </c>
      <c r="J80" s="128">
        <v>60000000</v>
      </c>
      <c r="K80" s="192">
        <v>43892</v>
      </c>
      <c r="L80" s="32">
        <v>0</v>
      </c>
      <c r="M80" s="128">
        <f t="shared" ref="M80" si="21">J80-L80</f>
        <v>60000000</v>
      </c>
      <c r="N80" s="192">
        <v>43811</v>
      </c>
      <c r="O80"/>
      <c r="T80" s="63">
        <f t="shared" si="18"/>
        <v>60000000</v>
      </c>
    </row>
    <row r="81" spans="1:20" s="194" customFormat="1" ht="12">
      <c r="A81" s="48">
        <v>5084</v>
      </c>
      <c r="B81" s="48" t="s">
        <v>77</v>
      </c>
      <c r="C81" s="301" t="s">
        <v>296</v>
      </c>
      <c r="D81" s="301" t="s">
        <v>525</v>
      </c>
      <c r="E81" s="301" t="s">
        <v>81</v>
      </c>
      <c r="F81" s="128">
        <v>50000000</v>
      </c>
      <c r="G81" s="128">
        <v>50000000</v>
      </c>
      <c r="H81" s="7">
        <v>43712</v>
      </c>
      <c r="I81" s="192">
        <v>43747</v>
      </c>
      <c r="J81" s="128">
        <v>50000000</v>
      </c>
      <c r="K81" s="192">
        <v>43892</v>
      </c>
      <c r="L81" s="32">
        <v>0</v>
      </c>
      <c r="M81" s="128">
        <f t="shared" ref="M81:M83" si="22">J81-L81</f>
        <v>50000000</v>
      </c>
      <c r="N81" s="192">
        <v>43816</v>
      </c>
      <c r="O81"/>
      <c r="T81" s="63">
        <f t="shared" si="18"/>
        <v>50000000</v>
      </c>
    </row>
    <row r="82" spans="1:20" s="194" customFormat="1" ht="12">
      <c r="A82" s="48">
        <v>5085</v>
      </c>
      <c r="B82" s="48" t="s">
        <v>77</v>
      </c>
      <c r="C82" s="301" t="s">
        <v>296</v>
      </c>
      <c r="D82" s="301" t="s">
        <v>740</v>
      </c>
      <c r="E82" s="301" t="s">
        <v>81</v>
      </c>
      <c r="F82" s="128">
        <v>30000000</v>
      </c>
      <c r="G82" s="128">
        <v>30000000</v>
      </c>
      <c r="H82" s="7">
        <v>43712</v>
      </c>
      <c r="I82" s="192">
        <v>43747</v>
      </c>
      <c r="J82" s="128">
        <v>30000000</v>
      </c>
      <c r="K82" s="192">
        <v>43892</v>
      </c>
      <c r="L82" s="32">
        <v>0</v>
      </c>
      <c r="M82" s="128">
        <f t="shared" si="22"/>
        <v>30000000</v>
      </c>
      <c r="N82" s="192">
        <v>43819</v>
      </c>
      <c r="T82" s="63">
        <f t="shared" si="18"/>
        <v>30000000</v>
      </c>
    </row>
    <row r="83" spans="1:20" s="194" customFormat="1" ht="12">
      <c r="A83" s="48">
        <v>5086</v>
      </c>
      <c r="B83" s="48" t="s">
        <v>77</v>
      </c>
      <c r="C83" s="301" t="s">
        <v>296</v>
      </c>
      <c r="D83" s="301" t="s">
        <v>741</v>
      </c>
      <c r="E83" s="301" t="s">
        <v>81</v>
      </c>
      <c r="F83" s="128">
        <v>32000000</v>
      </c>
      <c r="G83" s="128">
        <v>32000000</v>
      </c>
      <c r="H83" s="7">
        <v>43715</v>
      </c>
      <c r="I83" s="192">
        <v>43750</v>
      </c>
      <c r="J83" s="128">
        <v>32000000</v>
      </c>
      <c r="K83" s="192">
        <v>43895</v>
      </c>
      <c r="L83" s="32">
        <v>0</v>
      </c>
      <c r="M83" s="128">
        <f t="shared" si="22"/>
        <v>32000000</v>
      </c>
      <c r="N83" s="192">
        <v>43819</v>
      </c>
      <c r="T83" s="63">
        <f t="shared" si="18"/>
        <v>32000000</v>
      </c>
    </row>
    <row r="84" spans="1:20" s="398" customFormat="1" ht="12">
      <c r="A84" s="579">
        <v>5089</v>
      </c>
      <c r="B84" s="579" t="s">
        <v>77</v>
      </c>
      <c r="C84" s="580" t="s">
        <v>257</v>
      </c>
      <c r="D84" s="580" t="s">
        <v>259</v>
      </c>
      <c r="E84" s="580" t="s">
        <v>258</v>
      </c>
      <c r="F84" s="581">
        <v>20000000</v>
      </c>
      <c r="G84" s="581">
        <v>20000000</v>
      </c>
      <c r="H84" s="582">
        <v>43741</v>
      </c>
      <c r="I84" s="583">
        <v>43776</v>
      </c>
      <c r="J84" s="581">
        <v>20000000</v>
      </c>
      <c r="K84" s="583">
        <v>43921</v>
      </c>
      <c r="L84" s="584">
        <v>0</v>
      </c>
      <c r="M84" s="581">
        <f t="shared" ref="M84" si="23">J84-L84</f>
        <v>20000000</v>
      </c>
      <c r="N84" s="583">
        <v>43805</v>
      </c>
      <c r="O84" s="408" t="s">
        <v>862</v>
      </c>
      <c r="T84" s="585">
        <f>M84-15000000</f>
        <v>5000000</v>
      </c>
    </row>
    <row r="85" spans="1:20" s="194" customFormat="1" ht="12">
      <c r="A85" s="48">
        <v>5090</v>
      </c>
      <c r="B85" s="48" t="s">
        <v>77</v>
      </c>
      <c r="C85" s="301" t="s">
        <v>276</v>
      </c>
      <c r="D85" s="301" t="s">
        <v>469</v>
      </c>
      <c r="E85" s="301" t="s">
        <v>80</v>
      </c>
      <c r="F85" s="128">
        <v>33500000</v>
      </c>
      <c r="G85" s="128">
        <v>33500000</v>
      </c>
      <c r="H85" s="7">
        <v>43754</v>
      </c>
      <c r="I85" s="192">
        <v>43789</v>
      </c>
      <c r="J85" s="128">
        <v>33500000</v>
      </c>
      <c r="K85" s="192">
        <v>43934</v>
      </c>
      <c r="L85" s="32">
        <v>0</v>
      </c>
      <c r="M85" s="128">
        <f t="shared" si="12"/>
        <v>33500000</v>
      </c>
      <c r="N85" s="192">
        <v>43788</v>
      </c>
      <c r="O85"/>
      <c r="T85" s="63">
        <f>M85</f>
        <v>33500000</v>
      </c>
    </row>
    <row r="86" spans="1:20" s="194" customFormat="1" ht="12">
      <c r="A86" s="48">
        <v>5091</v>
      </c>
      <c r="B86" s="48" t="s">
        <v>77</v>
      </c>
      <c r="C86" s="301" t="s">
        <v>324</v>
      </c>
      <c r="D86" s="301" t="s">
        <v>764</v>
      </c>
      <c r="E86" s="301" t="s">
        <v>80</v>
      </c>
      <c r="F86" s="128">
        <v>50000000</v>
      </c>
      <c r="G86" s="128">
        <v>50000000</v>
      </c>
      <c r="H86" s="7">
        <v>43754</v>
      </c>
      <c r="I86" s="192">
        <v>43789</v>
      </c>
      <c r="J86" s="128">
        <v>50000000</v>
      </c>
      <c r="K86" s="192">
        <v>43934</v>
      </c>
      <c r="L86" s="32">
        <v>0</v>
      </c>
      <c r="M86" s="128">
        <f t="shared" ref="M86" si="24">J86-L86</f>
        <v>50000000</v>
      </c>
      <c r="N86" s="192">
        <v>43811</v>
      </c>
      <c r="O86"/>
      <c r="T86" s="63">
        <f>M86</f>
        <v>50000000</v>
      </c>
    </row>
    <row r="87" spans="1:20" s="194" customFormat="1" ht="12">
      <c r="A87" s="48">
        <v>5092</v>
      </c>
      <c r="B87" s="48" t="s">
        <v>77</v>
      </c>
      <c r="C87" s="301" t="s">
        <v>324</v>
      </c>
      <c r="D87" s="301" t="s">
        <v>575</v>
      </c>
      <c r="E87" s="301" t="s">
        <v>576</v>
      </c>
      <c r="F87" s="128">
        <v>26000000</v>
      </c>
      <c r="G87" s="128">
        <v>26000000</v>
      </c>
      <c r="H87" s="7">
        <v>43755</v>
      </c>
      <c r="I87" s="192">
        <v>43790</v>
      </c>
      <c r="J87" s="128">
        <v>26000000</v>
      </c>
      <c r="K87" s="192">
        <v>43935</v>
      </c>
      <c r="L87" s="32">
        <v>0</v>
      </c>
      <c r="M87" s="128">
        <f>J87-L87</f>
        <v>26000000</v>
      </c>
      <c r="N87" s="192">
        <v>43811</v>
      </c>
      <c r="O87"/>
      <c r="T87" s="63">
        <f>M87</f>
        <v>26000000</v>
      </c>
    </row>
    <row r="88" spans="1:20" s="194" customFormat="1" ht="12">
      <c r="A88" s="48">
        <v>5093</v>
      </c>
      <c r="B88" s="48" t="s">
        <v>77</v>
      </c>
      <c r="C88" s="301" t="s">
        <v>524</v>
      </c>
      <c r="D88" s="301" t="s">
        <v>525</v>
      </c>
      <c r="E88" s="301" t="s">
        <v>526</v>
      </c>
      <c r="F88" s="128">
        <v>45000000</v>
      </c>
      <c r="G88" s="128">
        <v>45000000</v>
      </c>
      <c r="H88" s="7">
        <v>43755</v>
      </c>
      <c r="I88" s="192">
        <v>43790</v>
      </c>
      <c r="J88" s="128">
        <v>45000000</v>
      </c>
      <c r="K88" s="192">
        <v>43935</v>
      </c>
      <c r="L88" s="403">
        <v>0</v>
      </c>
      <c r="M88" s="128">
        <f>J88-L88</f>
        <v>45000000</v>
      </c>
      <c r="N88" s="192">
        <v>43816</v>
      </c>
      <c r="O88"/>
      <c r="T88" s="591">
        <f>M88</f>
        <v>45000000</v>
      </c>
    </row>
    <row r="89" spans="1:20" s="194" customFormat="1" ht="12">
      <c r="A89" s="48">
        <v>5094</v>
      </c>
      <c r="B89" s="48" t="s">
        <v>77</v>
      </c>
      <c r="C89" s="301" t="s">
        <v>200</v>
      </c>
      <c r="D89" s="301" t="s">
        <v>771</v>
      </c>
      <c r="E89" s="301" t="s">
        <v>201</v>
      </c>
      <c r="F89" s="128">
        <v>15000000</v>
      </c>
      <c r="G89" s="128">
        <v>15000000</v>
      </c>
      <c r="H89" s="7">
        <v>43755</v>
      </c>
      <c r="I89" s="192">
        <v>43790</v>
      </c>
      <c r="J89" s="128">
        <v>15000000</v>
      </c>
      <c r="K89" s="192">
        <v>43935</v>
      </c>
      <c r="L89" s="403">
        <v>0</v>
      </c>
      <c r="M89" s="128">
        <f>J89-L89</f>
        <v>15000000</v>
      </c>
      <c r="N89" s="192">
        <v>43816</v>
      </c>
      <c r="O89"/>
      <c r="T89" s="591">
        <f t="shared" ref="T89:T90" si="25">M89</f>
        <v>15000000</v>
      </c>
    </row>
    <row r="90" spans="1:20" s="194" customFormat="1" ht="12">
      <c r="A90" s="48">
        <v>5095</v>
      </c>
      <c r="B90" s="48" t="s">
        <v>77</v>
      </c>
      <c r="C90" s="301" t="s">
        <v>200</v>
      </c>
      <c r="D90" s="301" t="s">
        <v>772</v>
      </c>
      <c r="E90" s="301" t="s">
        <v>201</v>
      </c>
      <c r="F90" s="128">
        <v>15000000</v>
      </c>
      <c r="G90" s="128">
        <v>15000000</v>
      </c>
      <c r="H90" s="7">
        <v>43755</v>
      </c>
      <c r="I90" s="192">
        <v>43790</v>
      </c>
      <c r="J90" s="128">
        <v>15000000</v>
      </c>
      <c r="K90" s="192">
        <v>43935</v>
      </c>
      <c r="L90" s="403">
        <v>0</v>
      </c>
      <c r="M90" s="128">
        <f>J90-L90</f>
        <v>15000000</v>
      </c>
      <c r="N90" s="192">
        <v>43816</v>
      </c>
      <c r="O90"/>
      <c r="T90" s="591">
        <f t="shared" si="25"/>
        <v>15000000</v>
      </c>
    </row>
    <row r="91" spans="1:20" s="398" customFormat="1" ht="12">
      <c r="A91" s="579">
        <v>5096</v>
      </c>
      <c r="B91" s="579" t="s">
        <v>77</v>
      </c>
      <c r="C91" s="580" t="s">
        <v>267</v>
      </c>
      <c r="D91" s="580" t="s">
        <v>823</v>
      </c>
      <c r="E91" s="580" t="s">
        <v>268</v>
      </c>
      <c r="F91" s="581">
        <v>35000000</v>
      </c>
      <c r="G91" s="581">
        <v>35000000</v>
      </c>
      <c r="H91" s="582">
        <v>43761</v>
      </c>
      <c r="I91" s="583">
        <v>43796</v>
      </c>
      <c r="J91" s="581">
        <v>35000000</v>
      </c>
      <c r="K91" s="583">
        <v>43941</v>
      </c>
      <c r="L91" s="584">
        <v>0</v>
      </c>
      <c r="M91" s="581">
        <f t="shared" si="12"/>
        <v>35000000</v>
      </c>
      <c r="N91" s="583">
        <v>43778</v>
      </c>
      <c r="O91" s="408" t="s">
        <v>843</v>
      </c>
      <c r="T91" s="585">
        <v>0</v>
      </c>
    </row>
    <row r="92" spans="1:20" s="398" customFormat="1" ht="12">
      <c r="A92" s="579">
        <v>5097</v>
      </c>
      <c r="B92" s="579" t="s">
        <v>77</v>
      </c>
      <c r="C92" s="580" t="s">
        <v>98</v>
      </c>
      <c r="D92" s="580" t="s">
        <v>836</v>
      </c>
      <c r="E92" s="580" t="s">
        <v>837</v>
      </c>
      <c r="F92" s="581">
        <v>38800000</v>
      </c>
      <c r="G92" s="581">
        <v>38800000</v>
      </c>
      <c r="H92" s="582">
        <v>43761</v>
      </c>
      <c r="I92" s="583">
        <v>43796</v>
      </c>
      <c r="J92" s="581">
        <v>38800000</v>
      </c>
      <c r="K92" s="583">
        <v>43941</v>
      </c>
      <c r="L92" s="584">
        <v>0</v>
      </c>
      <c r="M92" s="581">
        <f t="shared" si="12"/>
        <v>38800000</v>
      </c>
      <c r="N92" s="583">
        <v>43811</v>
      </c>
      <c r="O92" s="408" t="s">
        <v>866</v>
      </c>
      <c r="T92" s="585">
        <v>0</v>
      </c>
    </row>
    <row r="93" spans="1:20" s="398" customFormat="1" ht="12">
      <c r="A93" s="579">
        <v>5099</v>
      </c>
      <c r="B93" s="579" t="s">
        <v>77</v>
      </c>
      <c r="C93" s="580" t="s">
        <v>172</v>
      </c>
      <c r="D93" s="580" t="s">
        <v>844</v>
      </c>
      <c r="E93" s="580" t="s">
        <v>80</v>
      </c>
      <c r="F93" s="581">
        <v>35000000</v>
      </c>
      <c r="G93" s="581">
        <v>35000000</v>
      </c>
      <c r="H93" s="582">
        <v>43783</v>
      </c>
      <c r="I93" s="583">
        <v>43818</v>
      </c>
      <c r="J93" s="581">
        <v>35000000</v>
      </c>
      <c r="K93" s="583">
        <v>43963</v>
      </c>
      <c r="L93" s="584">
        <v>0</v>
      </c>
      <c r="M93" s="581">
        <f t="shared" ref="M93" si="26">J93-L93</f>
        <v>35000000</v>
      </c>
      <c r="N93" s="583">
        <v>43811</v>
      </c>
      <c r="O93" s="408" t="s">
        <v>843</v>
      </c>
      <c r="T93" s="585">
        <v>0</v>
      </c>
    </row>
    <row r="94" spans="1:20" s="194" customFormat="1" ht="12">
      <c r="A94" s="13"/>
      <c r="B94" s="13"/>
      <c r="C94" s="13"/>
      <c r="D94" s="36"/>
      <c r="E94" s="36"/>
      <c r="F94" s="318"/>
      <c r="G94" s="128"/>
      <c r="H94" s="7"/>
      <c r="I94" s="192"/>
      <c r="J94" s="128"/>
      <c r="K94" s="192"/>
      <c r="L94" s="32"/>
      <c r="M94" s="128"/>
      <c r="N94" s="192"/>
      <c r="T94" s="63"/>
    </row>
    <row r="95" spans="1:20" ht="12">
      <c r="A95" s="5"/>
      <c r="B95" s="5"/>
      <c r="C95" s="5"/>
      <c r="D95" s="26"/>
      <c r="E95" s="26"/>
      <c r="F95" s="403"/>
      <c r="G95" s="73"/>
      <c r="H95" s="3"/>
      <c r="I95" s="3"/>
      <c r="J95" s="79">
        <f>SUM(J69:J94)</f>
        <v>855300000</v>
      </c>
      <c r="K95" s="7"/>
      <c r="L95" s="79">
        <f>SUM(L69:L94)</f>
        <v>0</v>
      </c>
      <c r="M95" s="79">
        <f>SUM(M69:M94)</f>
        <v>855300000</v>
      </c>
      <c r="N95" s="158"/>
      <c r="T95" s="79">
        <f>SUM(T69:T94)</f>
        <v>727500000</v>
      </c>
    </row>
    <row r="96" spans="1:20" ht="12">
      <c r="F96" s="193"/>
      <c r="G96" s="193"/>
      <c r="H96" s="193"/>
      <c r="I96" s="193"/>
      <c r="J96" s="193"/>
      <c r="K96" s="193"/>
      <c r="N96" s="158"/>
    </row>
    <row r="98" spans="8:20" ht="12.6" thickBot="1">
      <c r="J98" s="401">
        <f>J28+J66+J95</f>
        <v>2531538397.4299998</v>
      </c>
      <c r="M98" s="401">
        <f>M95+M66+F31</f>
        <v>2122162194.6300001</v>
      </c>
      <c r="O98" s="282"/>
      <c r="P98" s="282"/>
      <c r="Q98" s="282"/>
      <c r="R98" s="282"/>
      <c r="T98" s="396">
        <f>T95+T66+T31</f>
        <v>2403738397.4299998</v>
      </c>
    </row>
    <row r="99" spans="8:20" ht="12" thickTop="1">
      <c r="M99" s="207"/>
    </row>
    <row r="101" spans="8:20">
      <c r="H101" s="211"/>
    </row>
    <row r="102" spans="8:20">
      <c r="H102" s="2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499984740745262"/>
  </sheetPr>
  <dimension ref="A1:V29"/>
  <sheetViews>
    <sheetView zoomScaleNormal="100" workbookViewId="0">
      <selection activeCell="H15" sqref="H15"/>
    </sheetView>
  </sheetViews>
  <sheetFormatPr defaultColWidth="10.875" defaultRowHeight="12"/>
  <cols>
    <col min="1" max="1" width="8.625" style="13" customWidth="1"/>
    <col min="2" max="2" width="6.625" style="13" bestFit="1" customWidth="1"/>
    <col min="3" max="3" width="9.25" style="13" bestFit="1" customWidth="1"/>
    <col min="4" max="4" width="13" style="13" bestFit="1" customWidth="1"/>
    <col min="5" max="5" width="21.875" style="13" bestFit="1" customWidth="1"/>
    <col min="6" max="6" width="30.625" style="13" bestFit="1" customWidth="1"/>
    <col min="7" max="7" width="14" style="13" bestFit="1" customWidth="1"/>
    <col min="8" max="8" width="13.875" style="12" bestFit="1" customWidth="1"/>
    <col min="9" max="9" width="12.75" style="35" bestFit="1" customWidth="1"/>
    <col min="10" max="10" width="13.375" style="13" bestFit="1" customWidth="1"/>
    <col min="11" max="11" width="9.75" style="13" bestFit="1" customWidth="1"/>
    <col min="12" max="12" width="12.625" style="35" bestFit="1" customWidth="1"/>
    <col min="13" max="13" width="9.75" style="13" bestFit="1" customWidth="1"/>
    <col min="14" max="14" width="15.25" style="12" bestFit="1" customWidth="1"/>
    <col min="15" max="15" width="12.875" style="12" bestFit="1" customWidth="1"/>
    <col min="16" max="16" width="9.125" style="13" bestFit="1" customWidth="1"/>
    <col min="17" max="17" width="10.875" style="13"/>
    <col min="18" max="18" width="41.375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ROUND(Totals!$H$8*Totals!$P$18, 0)</f>
        <v>41485011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5"/>
      <c r="J3" s="11"/>
      <c r="K3" s="11"/>
      <c r="L3" s="45"/>
      <c r="M3" s="11"/>
      <c r="N3" s="44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>
      <c r="A7" s="13">
        <v>127</v>
      </c>
      <c r="B7" s="13">
        <v>35</v>
      </c>
      <c r="C7" s="13">
        <v>4943</v>
      </c>
      <c r="D7" s="13" t="s">
        <v>203</v>
      </c>
      <c r="E7" s="13" t="s">
        <v>293</v>
      </c>
      <c r="F7" s="36" t="s">
        <v>514</v>
      </c>
      <c r="G7" s="36" t="s">
        <v>294</v>
      </c>
      <c r="H7" s="318">
        <v>25000000</v>
      </c>
      <c r="I7" s="418">
        <v>25000000</v>
      </c>
      <c r="J7" s="11">
        <v>43468</v>
      </c>
      <c r="K7" s="11">
        <f>J7+35</f>
        <v>43503</v>
      </c>
      <c r="L7" s="318">
        <v>25000000</v>
      </c>
      <c r="M7" s="11">
        <f>J7+180</f>
        <v>43648</v>
      </c>
      <c r="N7" s="404">
        <v>0</v>
      </c>
      <c r="O7" s="318">
        <f>L7-N7</f>
        <v>25000000</v>
      </c>
      <c r="P7" s="11">
        <v>43522</v>
      </c>
      <c r="Q7" s="13" t="s">
        <v>345</v>
      </c>
      <c r="R7" s="402"/>
    </row>
    <row r="8" spans="1:22" s="477" customFormat="1">
      <c r="A8" s="477" t="s">
        <v>147</v>
      </c>
      <c r="B8" s="477" t="s">
        <v>147</v>
      </c>
      <c r="C8" s="477">
        <v>5013</v>
      </c>
      <c r="D8" s="477" t="s">
        <v>203</v>
      </c>
      <c r="E8" s="477" t="s">
        <v>293</v>
      </c>
      <c r="F8" s="486" t="s">
        <v>514</v>
      </c>
      <c r="G8" s="486" t="s">
        <v>294</v>
      </c>
      <c r="H8" s="475">
        <v>30000000</v>
      </c>
      <c r="I8" s="475">
        <v>30000000</v>
      </c>
      <c r="J8" s="487">
        <v>43523</v>
      </c>
      <c r="K8" s="487">
        <f>J8+35</f>
        <v>43558</v>
      </c>
      <c r="L8" s="475">
        <v>30000000</v>
      </c>
      <c r="M8" s="487">
        <f>J8+180</f>
        <v>43703</v>
      </c>
      <c r="N8" s="475">
        <v>0</v>
      </c>
      <c r="O8" s="475">
        <f>L8-N8</f>
        <v>30000000</v>
      </c>
      <c r="P8" s="487">
        <v>43671</v>
      </c>
      <c r="Q8" s="477" t="s">
        <v>345</v>
      </c>
      <c r="R8" s="523"/>
    </row>
    <row r="9" spans="1:22">
      <c r="F9" s="36"/>
      <c r="G9" s="36"/>
      <c r="H9" s="27"/>
      <c r="I9" s="27"/>
      <c r="J9" s="11"/>
      <c r="K9" s="11"/>
      <c r="L9" s="355"/>
      <c r="M9" s="11"/>
      <c r="N9" s="355"/>
      <c r="O9" s="355"/>
      <c r="P9" s="11"/>
      <c r="R9" s="43"/>
    </row>
    <row r="10" spans="1:22">
      <c r="F10" s="36"/>
      <c r="G10" s="36"/>
      <c r="H10" s="27"/>
      <c r="I10" s="27"/>
      <c r="J10" s="11"/>
      <c r="K10" s="11"/>
      <c r="L10" s="355"/>
      <c r="M10" s="11"/>
      <c r="N10" s="355"/>
      <c r="O10" s="355"/>
      <c r="P10" s="11"/>
      <c r="R10" s="43"/>
    </row>
    <row r="11" spans="1:22">
      <c r="A11" s="43" t="s">
        <v>2</v>
      </c>
      <c r="B11" s="43"/>
      <c r="C11" s="43"/>
      <c r="D11" s="43"/>
      <c r="E11" s="1"/>
      <c r="F11" s="13" t="s">
        <v>19</v>
      </c>
      <c r="H11" s="280">
        <f>SUM(H7:H10)</f>
        <v>55000000</v>
      </c>
      <c r="I11" s="280">
        <f>SUM(I7:I10)</f>
        <v>55000000</v>
      </c>
      <c r="J11" s="10"/>
      <c r="K11" s="10"/>
      <c r="L11" s="280">
        <f>SUM(L7:L10)</f>
        <v>55000000</v>
      </c>
      <c r="M11" s="10"/>
      <c r="N11" s="415">
        <f>SUM(N7:N10)</f>
        <v>0</v>
      </c>
      <c r="O11" s="280">
        <f>SUM(O7:O10)</f>
        <v>55000000</v>
      </c>
    </row>
    <row r="12" spans="1:22" s="1" customFormat="1">
      <c r="A12" s="5"/>
      <c r="B12" s="5"/>
      <c r="C12" s="5"/>
      <c r="D12" s="91"/>
      <c r="F12" s="13"/>
      <c r="H12" s="78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SUM(H11-I11)</f>
        <v>0</v>
      </c>
      <c r="I13" s="9"/>
      <c r="L13" s="9"/>
      <c r="Q13" s="13"/>
    </row>
    <row r="14" spans="1:22" s="1" customFormat="1">
      <c r="A14" s="5"/>
      <c r="B14" s="5"/>
      <c r="C14" s="5"/>
      <c r="E14" s="5"/>
      <c r="G14" s="5"/>
      <c r="H14" s="69"/>
      <c r="I14" s="9"/>
      <c r="K14" s="142"/>
      <c r="L14" s="9"/>
      <c r="M14" s="3"/>
      <c r="N14" s="78"/>
      <c r="Q14" s="13"/>
    </row>
    <row r="15" spans="1:22" s="1" customFormat="1">
      <c r="A15" s="5"/>
      <c r="B15" s="5"/>
      <c r="C15" s="5"/>
      <c r="E15" s="137"/>
      <c r="F15" s="59" t="s">
        <v>75</v>
      </c>
      <c r="G15" s="5"/>
      <c r="H15" s="79">
        <f>+E1-I11+O11+G18</f>
        <v>41485011</v>
      </c>
      <c r="I15" s="325"/>
      <c r="J15" s="142"/>
      <c r="L15" s="9"/>
      <c r="M15" s="142"/>
      <c r="Q15" s="13"/>
    </row>
    <row r="18" spans="7:10">
      <c r="G18" s="334"/>
    </row>
    <row r="22" spans="7:10">
      <c r="G22" s="36"/>
    </row>
    <row r="29" spans="7:10">
      <c r="J29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8.875" style="13" customWidth="1"/>
    <col min="2" max="2" width="6.625" style="13" bestFit="1" customWidth="1"/>
    <col min="3" max="3" width="9.25" style="13" bestFit="1" customWidth="1"/>
    <col min="4" max="4" width="8.25" style="13" bestFit="1" customWidth="1"/>
    <col min="5" max="5" width="27.25" style="13" bestFit="1" customWidth="1"/>
    <col min="6" max="6" width="20.25" style="13" bestFit="1" customWidth="1"/>
    <col min="7" max="7" width="10.25" style="13" bestFit="1" customWidth="1"/>
    <col min="8" max="8" width="13.25" style="12" bestFit="1" customWidth="1"/>
    <col min="9" max="9" width="13.25" style="35" bestFit="1" customWidth="1"/>
    <col min="10" max="10" width="13.75" style="13" customWidth="1"/>
    <col min="11" max="11" width="10" style="13" bestFit="1" customWidth="1"/>
    <col min="12" max="12" width="13.25" style="35" bestFit="1" customWidth="1"/>
    <col min="13" max="13" width="9.125" style="13" customWidth="1"/>
    <col min="14" max="14" width="13" style="12" bestFit="1" customWidth="1"/>
    <col min="15" max="15" width="14.375" style="12" customWidth="1"/>
    <col min="16" max="16" width="12" style="13" bestFit="1" customWidth="1"/>
    <col min="17" max="17" width="10.875" style="13"/>
    <col min="18" max="18" width="31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ROUND(Totals!$H$8*Totals!$P$19, 0)</f>
        <v>14709495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5"/>
      <c r="J3" s="11"/>
      <c r="K3" s="11"/>
      <c r="L3" s="45"/>
      <c r="M3" s="11"/>
      <c r="N3" s="44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55"/>
      <c r="M7" s="11"/>
      <c r="N7" s="355"/>
      <c r="O7" s="355"/>
      <c r="P7" s="11"/>
      <c r="R7" s="43"/>
    </row>
    <row r="8" spans="1:22">
      <c r="F8" s="36"/>
      <c r="G8" s="36"/>
      <c r="H8" s="27"/>
      <c r="I8" s="27"/>
      <c r="J8" s="11"/>
      <c r="K8" s="11"/>
      <c r="L8" s="355"/>
      <c r="M8" s="11"/>
      <c r="N8" s="355"/>
      <c r="O8" s="35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80">
        <f>SUM(H7:H8)</f>
        <v>0</v>
      </c>
      <c r="I9" s="280">
        <f>SUM(I7:I8)</f>
        <v>0</v>
      </c>
      <c r="J9" s="10"/>
      <c r="K9" s="10"/>
      <c r="L9" s="280">
        <f>SUM(L7:L8)</f>
        <v>0</v>
      </c>
      <c r="M9" s="10"/>
      <c r="N9" s="280">
        <f>SUM(N7:N8)</f>
        <v>0</v>
      </c>
      <c r="O9" s="280">
        <f>SUM(O7:O8)</f>
        <v>0</v>
      </c>
    </row>
    <row r="10" spans="1:22" s="1" customFormat="1">
      <c r="A10" s="5"/>
      <c r="B10" s="5"/>
      <c r="C10" s="5"/>
      <c r="D10" s="91"/>
      <c r="F10" s="13"/>
      <c r="H10" s="78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9"/>
      <c r="I12" s="9"/>
      <c r="K12" s="142"/>
      <c r="L12" s="9"/>
      <c r="N12" s="78"/>
      <c r="Q12" s="13"/>
    </row>
    <row r="13" spans="1:22" s="1" customFormat="1">
      <c r="A13" s="5"/>
      <c r="B13" s="5"/>
      <c r="C13" s="5"/>
      <c r="E13" s="137"/>
      <c r="F13" s="59" t="s">
        <v>75</v>
      </c>
      <c r="G13" s="5"/>
      <c r="H13" s="79">
        <f>+E1-I9+O9+G16</f>
        <v>14709495</v>
      </c>
      <c r="I13" s="325"/>
      <c r="J13" s="142"/>
      <c r="L13" s="9"/>
      <c r="M13" s="142"/>
      <c r="Q13" s="13"/>
    </row>
    <row r="14" spans="1:22">
      <c r="I14" s="100"/>
    </row>
    <row r="16" spans="1:22">
      <c r="G16" s="334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8.75" style="13" customWidth="1"/>
    <col min="2" max="2" width="6.625" style="13" bestFit="1" customWidth="1"/>
    <col min="3" max="3" width="9.25" style="13" bestFit="1" customWidth="1"/>
    <col min="4" max="4" width="12.125" style="13" bestFit="1" customWidth="1"/>
    <col min="5" max="5" width="22.25" style="13" customWidth="1"/>
    <col min="6" max="6" width="17" style="13" bestFit="1" customWidth="1"/>
    <col min="7" max="7" width="10.375" style="13" bestFit="1" customWidth="1"/>
    <col min="8" max="8" width="11.75" style="12" bestFit="1" customWidth="1"/>
    <col min="9" max="9" width="12.25" style="35" bestFit="1" customWidth="1"/>
    <col min="10" max="10" width="14.375" style="13" bestFit="1" customWidth="1"/>
    <col min="11" max="11" width="10.375" style="13" bestFit="1" customWidth="1"/>
    <col min="12" max="12" width="12.625" style="35" bestFit="1" customWidth="1"/>
    <col min="13" max="13" width="10.375" style="13" bestFit="1" customWidth="1"/>
    <col min="14" max="14" width="13.125" style="12" bestFit="1" customWidth="1"/>
    <col min="15" max="15" width="10.375" style="12" bestFit="1" customWidth="1"/>
    <col min="16" max="16" width="10" style="13" bestFit="1" customWidth="1"/>
    <col min="17" max="17" width="10.875" style="13"/>
    <col min="18" max="18" width="42.125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49">
        <f>ROUND(Totals!$H$8*Totals!$P$20, 0)</f>
        <v>20190687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141"/>
      <c r="H3" s="44"/>
      <c r="I3" s="45"/>
      <c r="J3" s="11"/>
      <c r="K3" s="11"/>
      <c r="L3" s="45"/>
      <c r="M3" s="11"/>
      <c r="N3" s="44"/>
      <c r="O3" s="44"/>
      <c r="P3" s="11"/>
      <c r="Q3" s="1"/>
      <c r="R3" s="306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 s="477" customFormat="1">
      <c r="A7" s="494">
        <v>41</v>
      </c>
      <c r="B7" s="494">
        <v>55</v>
      </c>
      <c r="C7" s="494">
        <v>4947</v>
      </c>
      <c r="D7" s="494" t="s">
        <v>204</v>
      </c>
      <c r="E7" s="494" t="s">
        <v>166</v>
      </c>
      <c r="F7" s="495" t="s">
        <v>515</v>
      </c>
      <c r="G7" s="495" t="s">
        <v>82</v>
      </c>
      <c r="H7" s="496">
        <v>6000000</v>
      </c>
      <c r="I7" s="496">
        <v>6000000</v>
      </c>
      <c r="J7" s="497">
        <v>43475</v>
      </c>
      <c r="K7" s="497">
        <f>J7+35</f>
        <v>43510</v>
      </c>
      <c r="L7" s="496">
        <v>6000000</v>
      </c>
      <c r="M7" s="497">
        <f>J7+180</f>
        <v>43655</v>
      </c>
      <c r="N7" s="496">
        <v>4238000</v>
      </c>
      <c r="O7" s="496">
        <f>L7-N7</f>
        <v>1762000</v>
      </c>
      <c r="P7" s="497">
        <v>43533</v>
      </c>
      <c r="Q7" s="494" t="s">
        <v>253</v>
      </c>
      <c r="R7" s="490" t="s">
        <v>625</v>
      </c>
    </row>
    <row r="8" spans="1:22">
      <c r="F8" s="36"/>
      <c r="G8" s="36"/>
      <c r="H8" s="318"/>
      <c r="I8" s="318"/>
      <c r="J8" s="11"/>
      <c r="K8" s="11"/>
      <c r="L8" s="355"/>
      <c r="M8" s="11"/>
      <c r="N8" s="355"/>
      <c r="O8" s="355"/>
      <c r="P8" s="11"/>
      <c r="R8" s="43"/>
    </row>
    <row r="9" spans="1:22">
      <c r="F9" s="36"/>
      <c r="G9" s="36"/>
      <c r="H9" s="27"/>
      <c r="I9" s="27"/>
      <c r="J9" s="11"/>
      <c r="K9" s="11"/>
      <c r="L9" s="355"/>
      <c r="M9" s="11"/>
      <c r="N9" s="355"/>
      <c r="O9" s="355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80">
        <f>SUM(H7:H9)</f>
        <v>6000000</v>
      </c>
      <c r="I10" s="280">
        <f>SUM(I7:I9)</f>
        <v>6000000</v>
      </c>
      <c r="J10" s="10"/>
      <c r="K10" s="10"/>
      <c r="L10" s="280">
        <f>SUM(L7:L9)</f>
        <v>6000000</v>
      </c>
      <c r="M10" s="10"/>
      <c r="N10" s="280">
        <f>SUM(N7:N9)</f>
        <v>4238000</v>
      </c>
      <c r="O10" s="280">
        <f>SUM(O7:O9)</f>
        <v>1762000</v>
      </c>
    </row>
    <row r="11" spans="1:22" s="1" customFormat="1">
      <c r="A11" s="5"/>
      <c r="B11" s="5"/>
      <c r="C11" s="5"/>
      <c r="D11" s="91"/>
      <c r="F11" s="13"/>
      <c r="H11" s="78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9"/>
      <c r="I13" s="9"/>
      <c r="K13" s="142"/>
      <c r="L13" s="9"/>
      <c r="N13" s="78"/>
      <c r="Q13" s="13"/>
    </row>
    <row r="14" spans="1:22" s="1" customFormat="1">
      <c r="A14" s="5"/>
      <c r="B14" s="5"/>
      <c r="C14" s="5"/>
      <c r="E14" s="137"/>
      <c r="F14" s="59" t="s">
        <v>75</v>
      </c>
      <c r="G14" s="5"/>
      <c r="H14" s="79">
        <f>+E1-I10+O10+G17</f>
        <v>15952687</v>
      </c>
      <c r="I14" s="325"/>
      <c r="J14" s="142"/>
      <c r="L14" s="9"/>
      <c r="M14" s="142"/>
      <c r="Q14" s="13"/>
    </row>
    <row r="16" spans="1:22">
      <c r="M16" s="11"/>
    </row>
    <row r="17" spans="7:11">
      <c r="G17" s="334"/>
      <c r="J17" s="11"/>
      <c r="K17" s="11"/>
    </row>
    <row r="19" spans="7:11">
      <c r="K19" s="13" t="s">
        <v>7</v>
      </c>
    </row>
    <row r="28" spans="7:11">
      <c r="J28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30"/>
  <sheetViews>
    <sheetView zoomScaleNormal="100" workbookViewId="0">
      <selection activeCell="H104" sqref="H104"/>
    </sheetView>
  </sheetViews>
  <sheetFormatPr defaultColWidth="11.375" defaultRowHeight="12"/>
  <cols>
    <col min="1" max="1" width="8.125" style="1" customWidth="1"/>
    <col min="2" max="2" width="6.625" style="1" customWidth="1"/>
    <col min="3" max="3" width="9.25" style="1" customWidth="1"/>
    <col min="4" max="4" width="13.25" style="1" bestFit="1" customWidth="1"/>
    <col min="5" max="5" width="37.625" style="1" bestFit="1" customWidth="1"/>
    <col min="6" max="6" width="41" style="1" customWidth="1"/>
    <col min="7" max="7" width="19" style="1" customWidth="1"/>
    <col min="8" max="8" width="17.625" style="78" bestFit="1" customWidth="1"/>
    <col min="9" max="9" width="14.375" style="1" bestFit="1" customWidth="1"/>
    <col min="10" max="10" width="13.75" style="1" customWidth="1"/>
    <col min="11" max="11" width="9.625" style="1" bestFit="1" customWidth="1"/>
    <col min="12" max="12" width="14.875" style="9" bestFit="1" customWidth="1"/>
    <col min="13" max="13" width="12.875" style="1" bestFit="1" customWidth="1"/>
    <col min="14" max="14" width="13.75" style="1" bestFit="1" customWidth="1"/>
    <col min="15" max="15" width="14" style="1" bestFit="1" customWidth="1"/>
    <col min="16" max="16" width="9.25" style="1" customWidth="1"/>
    <col min="17" max="17" width="9.125" style="13" customWidth="1"/>
    <col min="18" max="18" width="43.25" style="1" customWidth="1"/>
    <col min="19" max="19" width="15.125" style="1" bestFit="1" customWidth="1"/>
    <col min="20" max="16384" width="11.375" style="1"/>
  </cols>
  <sheetData>
    <row r="1" spans="1:22" s="24" customFormat="1">
      <c r="A1" s="25" t="s">
        <v>30</v>
      </c>
      <c r="B1" s="48"/>
      <c r="C1" s="322"/>
      <c r="D1" s="17"/>
      <c r="E1" s="449">
        <f>Totals!I8</f>
        <v>1063046849</v>
      </c>
      <c r="F1" s="214"/>
      <c r="G1" s="18"/>
      <c r="H1" s="133"/>
      <c r="I1" s="20"/>
      <c r="J1" s="21"/>
      <c r="K1" s="22"/>
      <c r="L1" s="19"/>
      <c r="M1" s="22"/>
      <c r="N1" s="19"/>
      <c r="O1" s="19"/>
      <c r="P1" s="303"/>
      <c r="Q1" s="17"/>
      <c r="R1" s="304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3"/>
      <c r="F2" s="26"/>
      <c r="G2" s="26"/>
      <c r="H2" s="68"/>
      <c r="I2" s="28"/>
      <c r="J2" s="29"/>
      <c r="K2" s="11"/>
      <c r="L2" s="27"/>
      <c r="M2" s="11"/>
      <c r="N2" s="27"/>
      <c r="O2" s="27"/>
      <c r="P2" s="6"/>
      <c r="Q2" s="5"/>
      <c r="R2" s="305"/>
    </row>
    <row r="3" spans="1:22" s="13" customFormat="1">
      <c r="A3" s="25"/>
      <c r="B3" s="48"/>
      <c r="C3" s="48"/>
      <c r="D3" s="5"/>
      <c r="E3" s="26"/>
      <c r="F3" s="26"/>
      <c r="G3" s="26"/>
      <c r="H3" s="68"/>
      <c r="I3" s="27"/>
      <c r="J3" s="11"/>
      <c r="K3" s="11"/>
      <c r="L3" s="27"/>
      <c r="M3" s="11"/>
      <c r="N3" s="27"/>
      <c r="O3" s="27"/>
      <c r="P3" s="6"/>
      <c r="Q3" s="1"/>
      <c r="R3" s="306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224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 s="13" customFormat="1">
      <c r="A7" s="13">
        <v>1</v>
      </c>
      <c r="B7" s="13">
        <v>1</v>
      </c>
      <c r="C7" s="13">
        <v>4945</v>
      </c>
      <c r="D7" s="13" t="s">
        <v>204</v>
      </c>
      <c r="E7" s="13" t="s">
        <v>519</v>
      </c>
      <c r="F7" s="36" t="s">
        <v>520</v>
      </c>
      <c r="G7" s="36" t="s">
        <v>95</v>
      </c>
      <c r="H7" s="318">
        <v>20000000</v>
      </c>
      <c r="I7" s="318">
        <v>20000000</v>
      </c>
      <c r="J7" s="11">
        <v>43473</v>
      </c>
      <c r="K7" s="11">
        <f>J7+35</f>
        <v>43508</v>
      </c>
      <c r="L7" s="318">
        <v>20000000</v>
      </c>
      <c r="M7" s="11">
        <f>J7+180</f>
        <v>43653</v>
      </c>
      <c r="N7" s="318">
        <v>15838000</v>
      </c>
      <c r="O7" s="318">
        <f>L7-N7</f>
        <v>4162000</v>
      </c>
      <c r="P7" s="11">
        <v>43651</v>
      </c>
      <c r="Q7" s="13" t="s">
        <v>253</v>
      </c>
      <c r="R7" s="476" t="s">
        <v>619</v>
      </c>
    </row>
    <row r="8" spans="1:22" s="5" customFormat="1">
      <c r="A8" s="13">
        <v>3</v>
      </c>
      <c r="B8" s="13">
        <v>3</v>
      </c>
      <c r="C8" s="13" t="s">
        <v>516</v>
      </c>
      <c r="D8" s="13" t="s">
        <v>203</v>
      </c>
      <c r="E8" s="13" t="s">
        <v>324</v>
      </c>
      <c r="F8" s="36" t="s">
        <v>617</v>
      </c>
      <c r="G8" s="36" t="s">
        <v>80</v>
      </c>
      <c r="H8" s="318">
        <v>0</v>
      </c>
      <c r="I8" s="318"/>
      <c r="J8" s="11"/>
      <c r="K8" s="11"/>
      <c r="L8" s="318"/>
      <c r="M8" s="11"/>
      <c r="N8" s="318"/>
      <c r="O8" s="318"/>
      <c r="P8" s="11"/>
      <c r="Q8" s="13" t="s">
        <v>252</v>
      </c>
      <c r="R8" s="402" t="s">
        <v>618</v>
      </c>
      <c r="S8" s="13"/>
    </row>
    <row r="9" spans="1:22" s="13" customFormat="1">
      <c r="A9" s="13">
        <v>4</v>
      </c>
      <c r="B9" s="13">
        <v>4</v>
      </c>
      <c r="C9" s="13">
        <v>4948</v>
      </c>
      <c r="D9" s="13" t="s">
        <v>204</v>
      </c>
      <c r="E9" s="13" t="s">
        <v>324</v>
      </c>
      <c r="F9" s="36" t="s">
        <v>521</v>
      </c>
      <c r="G9" s="36" t="s">
        <v>80</v>
      </c>
      <c r="H9" s="318">
        <v>25000000</v>
      </c>
      <c r="I9" s="318">
        <v>25000000</v>
      </c>
      <c r="J9" s="11">
        <v>43475</v>
      </c>
      <c r="K9" s="11">
        <f>J9+35</f>
        <v>43510</v>
      </c>
      <c r="L9" s="318">
        <v>25000000</v>
      </c>
      <c r="M9" s="11">
        <f>J9+180</f>
        <v>43655</v>
      </c>
      <c r="N9" s="318">
        <v>25000000</v>
      </c>
      <c r="O9" s="318">
        <f>L9-N9</f>
        <v>0</v>
      </c>
      <c r="P9" s="11">
        <v>43659</v>
      </c>
      <c r="Q9" s="13" t="s">
        <v>252</v>
      </c>
      <c r="R9" s="476" t="s">
        <v>624</v>
      </c>
    </row>
    <row r="10" spans="1:22" s="13" customFormat="1">
      <c r="A10" s="13">
        <v>51</v>
      </c>
      <c r="B10" s="13">
        <v>5</v>
      </c>
      <c r="C10" s="13">
        <v>4986</v>
      </c>
      <c r="D10" s="13" t="s">
        <v>203</v>
      </c>
      <c r="E10" s="13" t="s">
        <v>301</v>
      </c>
      <c r="F10" s="36" t="s">
        <v>563</v>
      </c>
      <c r="G10" s="36" t="s">
        <v>251</v>
      </c>
      <c r="H10" s="318">
        <v>20000000</v>
      </c>
      <c r="I10" s="318">
        <v>20000000</v>
      </c>
      <c r="J10" s="11">
        <v>43491</v>
      </c>
      <c r="K10" s="11">
        <f>J10+35</f>
        <v>43526</v>
      </c>
      <c r="L10" s="318">
        <v>20000000</v>
      </c>
      <c r="M10" s="11">
        <f>J10+180</f>
        <v>43671</v>
      </c>
      <c r="N10" s="318">
        <v>0</v>
      </c>
      <c r="O10" s="318">
        <f>L10-N10</f>
        <v>20000000</v>
      </c>
      <c r="P10" s="11">
        <v>43622</v>
      </c>
      <c r="Q10" s="13" t="s">
        <v>344</v>
      </c>
      <c r="R10" s="476" t="s">
        <v>660</v>
      </c>
    </row>
    <row r="11" spans="1:22" s="13" customFormat="1">
      <c r="A11" s="13">
        <v>57</v>
      </c>
      <c r="B11" s="13">
        <v>7</v>
      </c>
      <c r="C11" s="13">
        <v>4989</v>
      </c>
      <c r="D11" s="13" t="s">
        <v>204</v>
      </c>
      <c r="E11" s="13" t="s">
        <v>302</v>
      </c>
      <c r="F11" s="36" t="s">
        <v>567</v>
      </c>
      <c r="G11" s="36" t="s">
        <v>318</v>
      </c>
      <c r="H11" s="318">
        <v>5000000</v>
      </c>
      <c r="I11" s="318">
        <v>5000000</v>
      </c>
      <c r="J11" s="11">
        <v>43494</v>
      </c>
      <c r="K11" s="11">
        <f>J11+35</f>
        <v>43529</v>
      </c>
      <c r="L11" s="318">
        <v>5000000</v>
      </c>
      <c r="M11" s="11">
        <f>J11+180</f>
        <v>43674</v>
      </c>
      <c r="N11" s="318">
        <v>5000000</v>
      </c>
      <c r="O11" s="318">
        <f>L11-N11</f>
        <v>0</v>
      </c>
      <c r="P11" s="11">
        <v>43620</v>
      </c>
      <c r="Q11" s="13" t="s">
        <v>344</v>
      </c>
      <c r="R11" s="476" t="s">
        <v>663</v>
      </c>
    </row>
    <row r="12" spans="1:22" s="13" customFormat="1">
      <c r="A12" s="13">
        <v>6</v>
      </c>
      <c r="B12" s="13">
        <v>8</v>
      </c>
      <c r="C12" s="13">
        <v>4949</v>
      </c>
      <c r="D12" s="13" t="s">
        <v>203</v>
      </c>
      <c r="E12" s="13" t="s">
        <v>301</v>
      </c>
      <c r="F12" s="36" t="s">
        <v>522</v>
      </c>
      <c r="G12" s="36" t="s">
        <v>80</v>
      </c>
      <c r="H12" s="318">
        <v>34000000</v>
      </c>
      <c r="I12" s="318">
        <v>34000000</v>
      </c>
      <c r="J12" s="11">
        <v>43475</v>
      </c>
      <c r="K12" s="11">
        <f>J12+35</f>
        <v>43510</v>
      </c>
      <c r="L12" s="318">
        <v>34000000</v>
      </c>
      <c r="M12" s="11">
        <f>J12+180</f>
        <v>43655</v>
      </c>
      <c r="N12" s="318">
        <v>0</v>
      </c>
      <c r="O12" s="318">
        <f>L12-N12</f>
        <v>34000000</v>
      </c>
      <c r="P12" s="11">
        <v>43617</v>
      </c>
      <c r="Q12" s="13" t="s">
        <v>252</v>
      </c>
      <c r="R12" s="476" t="s">
        <v>624</v>
      </c>
    </row>
    <row r="13" spans="1:22" s="13" customFormat="1">
      <c r="A13" s="13">
        <v>7</v>
      </c>
      <c r="B13" s="13">
        <v>9</v>
      </c>
      <c r="C13" s="13">
        <v>4954</v>
      </c>
      <c r="D13" s="13" t="s">
        <v>204</v>
      </c>
      <c r="E13" s="13" t="s">
        <v>296</v>
      </c>
      <c r="F13" s="36" t="s">
        <v>523</v>
      </c>
      <c r="G13" s="36" t="s">
        <v>81</v>
      </c>
      <c r="H13" s="318">
        <v>43000000</v>
      </c>
      <c r="I13" s="318">
        <v>43000000</v>
      </c>
      <c r="J13" s="11">
        <v>43477</v>
      </c>
      <c r="K13" s="11">
        <f>J13+35</f>
        <v>43512</v>
      </c>
      <c r="L13" s="318">
        <v>43000000</v>
      </c>
      <c r="M13" s="11">
        <f>J13+180</f>
        <v>43657</v>
      </c>
      <c r="N13" s="318">
        <v>43000000</v>
      </c>
      <c r="O13" s="318">
        <f>L13-N13</f>
        <v>0</v>
      </c>
      <c r="P13" s="11">
        <v>43666</v>
      </c>
      <c r="Q13" s="13" t="s">
        <v>253</v>
      </c>
      <c r="R13" s="476" t="s">
        <v>631</v>
      </c>
    </row>
    <row r="14" spans="1:22" s="5" customFormat="1">
      <c r="A14" s="13">
        <v>60</v>
      </c>
      <c r="B14" s="13">
        <v>10</v>
      </c>
      <c r="C14" s="13" t="s">
        <v>550</v>
      </c>
      <c r="D14" s="13" t="s">
        <v>203</v>
      </c>
      <c r="E14" s="13" t="s">
        <v>569</v>
      </c>
      <c r="F14" s="36" t="s">
        <v>570</v>
      </c>
      <c r="G14" s="36" t="s">
        <v>308</v>
      </c>
      <c r="H14" s="318">
        <v>0</v>
      </c>
      <c r="I14" s="318"/>
      <c r="J14" s="11"/>
      <c r="K14" s="11"/>
      <c r="L14" s="318"/>
      <c r="M14" s="11"/>
      <c r="N14" s="318"/>
      <c r="O14" s="318"/>
      <c r="P14" s="11"/>
      <c r="Q14" s="13" t="s">
        <v>344</v>
      </c>
      <c r="R14" s="402" t="s">
        <v>661</v>
      </c>
      <c r="S14" s="13"/>
    </row>
    <row r="15" spans="1:22" s="13" customFormat="1">
      <c r="A15" s="13">
        <v>61</v>
      </c>
      <c r="B15" s="13">
        <v>11</v>
      </c>
      <c r="C15" s="13">
        <v>4994</v>
      </c>
      <c r="D15" s="13" t="s">
        <v>204</v>
      </c>
      <c r="E15" s="13" t="s">
        <v>296</v>
      </c>
      <c r="F15" s="36" t="s">
        <v>571</v>
      </c>
      <c r="G15" s="36" t="s">
        <v>81</v>
      </c>
      <c r="H15" s="318">
        <v>43000000</v>
      </c>
      <c r="I15" s="318">
        <v>43000000</v>
      </c>
      <c r="J15" s="11">
        <v>43495</v>
      </c>
      <c r="K15" s="11">
        <f>J15+35</f>
        <v>43530</v>
      </c>
      <c r="L15" s="318">
        <v>43000000</v>
      </c>
      <c r="M15" s="11">
        <f>J15+180</f>
        <v>43675</v>
      </c>
      <c r="N15" s="318">
        <v>30674000</v>
      </c>
      <c r="O15" s="318">
        <f>L15-N15</f>
        <v>12326000</v>
      </c>
      <c r="P15" s="11">
        <v>43683</v>
      </c>
      <c r="Q15" s="13" t="s">
        <v>344</v>
      </c>
      <c r="R15" s="476" t="s">
        <v>665</v>
      </c>
    </row>
    <row r="16" spans="1:22" s="13" customFormat="1">
      <c r="A16" s="13">
        <v>8</v>
      </c>
      <c r="B16" s="13">
        <v>12</v>
      </c>
      <c r="C16" s="13">
        <v>4955</v>
      </c>
      <c r="D16" s="13" t="s">
        <v>203</v>
      </c>
      <c r="E16" s="13" t="s">
        <v>524</v>
      </c>
      <c r="F16" s="36" t="s">
        <v>525</v>
      </c>
      <c r="G16" s="36" t="s">
        <v>526</v>
      </c>
      <c r="H16" s="318">
        <v>45000000</v>
      </c>
      <c r="I16" s="318">
        <v>45000000</v>
      </c>
      <c r="J16" s="11">
        <v>43477</v>
      </c>
      <c r="K16" s="11">
        <f>J16+35</f>
        <v>43512</v>
      </c>
      <c r="L16" s="318">
        <v>45000000</v>
      </c>
      <c r="M16" s="11">
        <f>J16+180</f>
        <v>43657</v>
      </c>
      <c r="N16" s="404">
        <v>0</v>
      </c>
      <c r="O16" s="318">
        <f>L16-N16</f>
        <v>45000000</v>
      </c>
      <c r="P16" s="11">
        <v>43659</v>
      </c>
      <c r="Q16" s="13" t="s">
        <v>253</v>
      </c>
      <c r="R16" s="476" t="s">
        <v>631</v>
      </c>
    </row>
    <row r="17" spans="1:19" s="338" customFormat="1">
      <c r="A17" s="13">
        <v>9</v>
      </c>
      <c r="B17" s="13">
        <v>13</v>
      </c>
      <c r="C17" s="13">
        <v>4959</v>
      </c>
      <c r="D17" s="13" t="s">
        <v>203</v>
      </c>
      <c r="E17" s="13" t="s">
        <v>296</v>
      </c>
      <c r="F17" s="36" t="s">
        <v>527</v>
      </c>
      <c r="G17" s="36" t="s">
        <v>81</v>
      </c>
      <c r="H17" s="318">
        <v>38000000</v>
      </c>
      <c r="I17" s="318">
        <v>38000000</v>
      </c>
      <c r="J17" s="11">
        <v>43481</v>
      </c>
      <c r="K17" s="11">
        <f>J17+35</f>
        <v>43516</v>
      </c>
      <c r="L17" s="318">
        <v>25000000</v>
      </c>
      <c r="M17" s="11">
        <f>J17+180</f>
        <v>43661</v>
      </c>
      <c r="N17" s="404">
        <v>0</v>
      </c>
      <c r="O17" s="318">
        <f>I17-N17</f>
        <v>38000000</v>
      </c>
      <c r="P17" s="11">
        <v>43659</v>
      </c>
      <c r="Q17" s="13" t="s">
        <v>253</v>
      </c>
      <c r="R17" s="476" t="s">
        <v>636</v>
      </c>
      <c r="S17" s="13"/>
    </row>
    <row r="18" spans="1:19" s="5" customFormat="1">
      <c r="A18" s="13">
        <v>64</v>
      </c>
      <c r="B18" s="13">
        <v>14</v>
      </c>
      <c r="C18" s="13" t="s">
        <v>551</v>
      </c>
      <c r="D18" s="13" t="s">
        <v>203</v>
      </c>
      <c r="E18" s="13" t="s">
        <v>296</v>
      </c>
      <c r="F18" s="36" t="s">
        <v>572</v>
      </c>
      <c r="G18" s="36" t="s">
        <v>81</v>
      </c>
      <c r="H18" s="318">
        <v>0</v>
      </c>
      <c r="I18" s="318"/>
      <c r="J18" s="11"/>
      <c r="K18" s="11"/>
      <c r="L18" s="318"/>
      <c r="M18" s="11"/>
      <c r="N18" s="318"/>
      <c r="O18" s="318"/>
      <c r="P18" s="11"/>
      <c r="Q18" s="13" t="s">
        <v>344</v>
      </c>
      <c r="R18" s="43"/>
      <c r="S18" s="13"/>
    </row>
    <row r="19" spans="1:19" s="13" customFormat="1">
      <c r="A19" s="13">
        <v>66</v>
      </c>
      <c r="B19" s="13">
        <v>15</v>
      </c>
      <c r="C19" s="13">
        <v>4995</v>
      </c>
      <c r="D19" s="13" t="s">
        <v>204</v>
      </c>
      <c r="E19" s="13" t="s">
        <v>156</v>
      </c>
      <c r="F19" s="36" t="s">
        <v>573</v>
      </c>
      <c r="G19" s="36" t="s">
        <v>81</v>
      </c>
      <c r="H19" s="318">
        <v>25000000</v>
      </c>
      <c r="I19" s="318">
        <v>25000000</v>
      </c>
      <c r="J19" s="11">
        <v>43495</v>
      </c>
      <c r="K19" s="11">
        <f>J19+35</f>
        <v>43530</v>
      </c>
      <c r="L19" s="318">
        <v>25000000</v>
      </c>
      <c r="M19" s="11">
        <f>J19+180</f>
        <v>43675</v>
      </c>
      <c r="N19" s="318">
        <v>0</v>
      </c>
      <c r="O19" s="318">
        <f>L19-N19</f>
        <v>25000000</v>
      </c>
      <c r="P19" s="11">
        <v>43685</v>
      </c>
      <c r="Q19" s="13" t="s">
        <v>344</v>
      </c>
      <c r="R19" s="476" t="s">
        <v>665</v>
      </c>
      <c r="S19" s="338" t="s">
        <v>645</v>
      </c>
    </row>
    <row r="20" spans="1:19" s="338" customFormat="1">
      <c r="A20" s="13">
        <v>10</v>
      </c>
      <c r="B20" s="13">
        <v>16</v>
      </c>
      <c r="C20" s="13">
        <v>4960</v>
      </c>
      <c r="D20" s="13" t="s">
        <v>203</v>
      </c>
      <c r="E20" s="13" t="s">
        <v>165</v>
      </c>
      <c r="F20" s="36" t="s">
        <v>528</v>
      </c>
      <c r="G20" s="36" t="s">
        <v>529</v>
      </c>
      <c r="H20" s="318">
        <v>19000000</v>
      </c>
      <c r="I20" s="318">
        <v>19000000</v>
      </c>
      <c r="J20" s="11">
        <v>43481</v>
      </c>
      <c r="K20" s="11">
        <f>J20+35</f>
        <v>43516</v>
      </c>
      <c r="L20" s="318">
        <v>19000000</v>
      </c>
      <c r="M20" s="11">
        <f>J20+180</f>
        <v>43661</v>
      </c>
      <c r="N20" s="318">
        <v>0</v>
      </c>
      <c r="O20" s="318">
        <f>L20-N20</f>
        <v>19000000</v>
      </c>
      <c r="P20" s="420">
        <v>43593</v>
      </c>
      <c r="Q20" s="13" t="s">
        <v>253</v>
      </c>
      <c r="R20" s="476" t="s">
        <v>636</v>
      </c>
      <c r="S20" s="5"/>
    </row>
    <row r="21" spans="1:19" s="13" customFormat="1">
      <c r="A21" s="13">
        <v>69</v>
      </c>
      <c r="B21" s="13">
        <v>18</v>
      </c>
      <c r="C21" s="13" t="s">
        <v>552</v>
      </c>
      <c r="D21" s="13" t="s">
        <v>203</v>
      </c>
      <c r="E21" s="13" t="s">
        <v>296</v>
      </c>
      <c r="F21" s="36" t="s">
        <v>574</v>
      </c>
      <c r="G21" s="36" t="s">
        <v>81</v>
      </c>
      <c r="H21" s="318">
        <v>0</v>
      </c>
      <c r="I21" s="318"/>
      <c r="J21" s="11"/>
      <c r="K21" s="11"/>
      <c r="L21" s="318"/>
      <c r="M21" s="11"/>
      <c r="N21" s="318"/>
      <c r="O21" s="318"/>
      <c r="P21" s="11"/>
      <c r="Q21" s="13" t="s">
        <v>344</v>
      </c>
      <c r="R21" s="402" t="s">
        <v>667</v>
      </c>
    </row>
    <row r="22" spans="1:19" s="5" customFormat="1">
      <c r="A22" s="338">
        <v>19</v>
      </c>
      <c r="B22" s="338">
        <v>19</v>
      </c>
      <c r="C22" s="338">
        <v>4965</v>
      </c>
      <c r="D22" s="338" t="s">
        <v>203</v>
      </c>
      <c r="E22" s="338" t="s">
        <v>309</v>
      </c>
      <c r="F22" s="446" t="s">
        <v>532</v>
      </c>
      <c r="G22" s="446" t="s">
        <v>80</v>
      </c>
      <c r="H22" s="412">
        <v>122520653</v>
      </c>
      <c r="I22" s="412">
        <v>122520653</v>
      </c>
      <c r="J22" s="391">
        <v>43482</v>
      </c>
      <c r="K22" s="391">
        <f>J22+35</f>
        <v>43517</v>
      </c>
      <c r="L22" s="412">
        <v>122520653</v>
      </c>
      <c r="M22" s="391">
        <f>J22+150</f>
        <v>43632</v>
      </c>
      <c r="N22" s="412">
        <v>0</v>
      </c>
      <c r="O22" s="412">
        <f>L22-N22</f>
        <v>122520653</v>
      </c>
      <c r="P22" s="391">
        <v>43575</v>
      </c>
      <c r="Q22" s="338" t="s">
        <v>147</v>
      </c>
      <c r="R22" s="506"/>
      <c r="S22" s="338"/>
    </row>
    <row r="23" spans="1:19" s="338" customFormat="1">
      <c r="A23" s="13">
        <v>70</v>
      </c>
      <c r="B23" s="13">
        <v>21</v>
      </c>
      <c r="C23" s="13">
        <v>4997</v>
      </c>
      <c r="D23" s="13" t="s">
        <v>203</v>
      </c>
      <c r="E23" s="13" t="s">
        <v>296</v>
      </c>
      <c r="F23" s="36" t="s">
        <v>525</v>
      </c>
      <c r="G23" s="36" t="s">
        <v>81</v>
      </c>
      <c r="H23" s="318">
        <v>50000000</v>
      </c>
      <c r="I23" s="318">
        <f>H23</f>
        <v>50000000</v>
      </c>
      <c r="J23" s="11">
        <v>43495</v>
      </c>
      <c r="K23" s="11">
        <f>J23+35</f>
        <v>43530</v>
      </c>
      <c r="L23" s="318">
        <v>50000000</v>
      </c>
      <c r="M23" s="11">
        <f>J23+180</f>
        <v>43675</v>
      </c>
      <c r="N23" s="318">
        <v>0</v>
      </c>
      <c r="O23" s="318">
        <f>L23-N23</f>
        <v>50000000</v>
      </c>
      <c r="P23" s="11">
        <v>43602</v>
      </c>
      <c r="Q23" s="13" t="s">
        <v>344</v>
      </c>
      <c r="R23" s="476" t="s">
        <v>671</v>
      </c>
      <c r="S23" s="13"/>
    </row>
    <row r="24" spans="1:19" s="5" customFormat="1">
      <c r="A24" s="13">
        <v>74</v>
      </c>
      <c r="B24" s="13">
        <v>22</v>
      </c>
      <c r="C24" s="13" t="s">
        <v>553</v>
      </c>
      <c r="D24" s="13" t="s">
        <v>203</v>
      </c>
      <c r="E24" s="13" t="s">
        <v>301</v>
      </c>
      <c r="F24" s="36" t="s">
        <v>577</v>
      </c>
      <c r="G24" s="36" t="s">
        <v>313</v>
      </c>
      <c r="H24" s="318">
        <v>0</v>
      </c>
      <c r="I24" s="318">
        <f>H24</f>
        <v>0</v>
      </c>
      <c r="J24" s="11"/>
      <c r="K24" s="11"/>
      <c r="L24" s="318"/>
      <c r="M24" s="11"/>
      <c r="N24" s="318"/>
      <c r="O24" s="318"/>
      <c r="P24" s="11"/>
      <c r="Q24" s="13" t="s">
        <v>344</v>
      </c>
      <c r="R24" s="402" t="s">
        <v>666</v>
      </c>
      <c r="S24" s="13"/>
    </row>
    <row r="25" spans="1:19" s="13" customFormat="1">
      <c r="A25" s="13">
        <v>13</v>
      </c>
      <c r="B25" s="13">
        <v>23</v>
      </c>
      <c r="C25" s="13">
        <v>4963</v>
      </c>
      <c r="D25" s="13" t="s">
        <v>204</v>
      </c>
      <c r="E25" s="13" t="s">
        <v>324</v>
      </c>
      <c r="F25" s="36" t="s">
        <v>530</v>
      </c>
      <c r="G25" s="36" t="s">
        <v>80</v>
      </c>
      <c r="H25" s="318">
        <v>25000000</v>
      </c>
      <c r="I25" s="318">
        <v>25000000</v>
      </c>
      <c r="J25" s="11">
        <v>43482</v>
      </c>
      <c r="K25" s="11">
        <f t="shared" ref="K25:K37" si="0">J25+35</f>
        <v>43517</v>
      </c>
      <c r="L25" s="318">
        <v>25000000</v>
      </c>
      <c r="M25" s="11">
        <f>J25+180</f>
        <v>43662</v>
      </c>
      <c r="N25" s="318">
        <v>22000000</v>
      </c>
      <c r="O25" s="318">
        <f t="shared" ref="O25:O37" si="1">L25-N25</f>
        <v>3000000</v>
      </c>
      <c r="P25" s="11">
        <v>43666</v>
      </c>
      <c r="Q25" s="13" t="s">
        <v>252</v>
      </c>
      <c r="R25" s="476" t="s">
        <v>637</v>
      </c>
    </row>
    <row r="26" spans="1:19" s="13" customFormat="1">
      <c r="A26" s="338">
        <v>26</v>
      </c>
      <c r="B26" s="338">
        <v>26</v>
      </c>
      <c r="C26" s="338">
        <v>4969</v>
      </c>
      <c r="D26" s="338" t="s">
        <v>203</v>
      </c>
      <c r="E26" s="338" t="s">
        <v>401</v>
      </c>
      <c r="F26" s="446" t="s">
        <v>535</v>
      </c>
      <c r="G26" s="446" t="s">
        <v>403</v>
      </c>
      <c r="H26" s="412">
        <v>15000000</v>
      </c>
      <c r="I26" s="412">
        <v>15000000</v>
      </c>
      <c r="J26" s="391">
        <v>43484</v>
      </c>
      <c r="K26" s="391">
        <f t="shared" si="0"/>
        <v>43519</v>
      </c>
      <c r="L26" s="412">
        <v>15000000</v>
      </c>
      <c r="M26" s="391">
        <f>J26+150</f>
        <v>43634</v>
      </c>
      <c r="N26" s="412">
        <v>0</v>
      </c>
      <c r="O26" s="412">
        <f t="shared" si="1"/>
        <v>15000000</v>
      </c>
      <c r="P26" s="391">
        <v>43602</v>
      </c>
      <c r="Q26" s="338" t="s">
        <v>147</v>
      </c>
      <c r="R26" s="402"/>
      <c r="S26" s="338"/>
    </row>
    <row r="27" spans="1:19" s="5" customFormat="1">
      <c r="A27" s="13">
        <v>17</v>
      </c>
      <c r="B27" s="13">
        <v>28</v>
      </c>
      <c r="C27" s="13">
        <v>4964</v>
      </c>
      <c r="D27" s="13" t="s">
        <v>203</v>
      </c>
      <c r="E27" s="13" t="s">
        <v>296</v>
      </c>
      <c r="F27" s="36" t="s">
        <v>531</v>
      </c>
      <c r="G27" s="36" t="s">
        <v>81</v>
      </c>
      <c r="H27" s="318">
        <v>25000000</v>
      </c>
      <c r="I27" s="318">
        <v>25000000</v>
      </c>
      <c r="J27" s="11">
        <v>43482</v>
      </c>
      <c r="K27" s="11">
        <f t="shared" si="0"/>
        <v>43517</v>
      </c>
      <c r="L27" s="318">
        <v>25000000</v>
      </c>
      <c r="M27" s="11">
        <f>J27+180</f>
        <v>43662</v>
      </c>
      <c r="N27" s="318">
        <v>0</v>
      </c>
      <c r="O27" s="318">
        <f t="shared" si="1"/>
        <v>25000000</v>
      </c>
      <c r="P27" s="11">
        <v>43609</v>
      </c>
      <c r="Q27" s="13" t="s">
        <v>253</v>
      </c>
      <c r="R27" s="476" t="s">
        <v>637</v>
      </c>
      <c r="S27" s="13"/>
    </row>
    <row r="28" spans="1:19" s="13" customFormat="1">
      <c r="A28" s="13">
        <v>20</v>
      </c>
      <c r="B28" s="13">
        <v>30</v>
      </c>
      <c r="C28" s="13">
        <v>4967</v>
      </c>
      <c r="D28" s="13" t="s">
        <v>204</v>
      </c>
      <c r="E28" s="13" t="s">
        <v>533</v>
      </c>
      <c r="F28" s="36" t="s">
        <v>182</v>
      </c>
      <c r="G28" s="36" t="s">
        <v>79</v>
      </c>
      <c r="H28" s="318">
        <v>45000000</v>
      </c>
      <c r="I28" s="318">
        <v>45000000</v>
      </c>
      <c r="J28" s="11">
        <v>43484</v>
      </c>
      <c r="K28" s="11">
        <f t="shared" si="0"/>
        <v>43519</v>
      </c>
      <c r="L28" s="318">
        <v>45000000</v>
      </c>
      <c r="M28" s="11">
        <f>J28+180</f>
        <v>43664</v>
      </c>
      <c r="N28" s="318">
        <v>45000000</v>
      </c>
      <c r="O28" s="318">
        <f t="shared" si="1"/>
        <v>0</v>
      </c>
      <c r="P28" s="11">
        <v>43666</v>
      </c>
      <c r="Q28" s="13" t="s">
        <v>252</v>
      </c>
      <c r="R28" s="476" t="s">
        <v>640</v>
      </c>
    </row>
    <row r="29" spans="1:19" s="447" customFormat="1">
      <c r="A29" s="338">
        <v>31</v>
      </c>
      <c r="B29" s="338">
        <v>31</v>
      </c>
      <c r="C29" s="338">
        <v>4974</v>
      </c>
      <c r="D29" s="338" t="s">
        <v>203</v>
      </c>
      <c r="E29" s="338" t="s">
        <v>538</v>
      </c>
      <c r="F29" s="446" t="s">
        <v>539</v>
      </c>
      <c r="G29" s="446" t="s">
        <v>540</v>
      </c>
      <c r="H29" s="412">
        <v>100000000</v>
      </c>
      <c r="I29" s="412">
        <v>100000000</v>
      </c>
      <c r="J29" s="391">
        <v>43487</v>
      </c>
      <c r="K29" s="391">
        <f t="shared" si="0"/>
        <v>43522</v>
      </c>
      <c r="L29" s="412">
        <v>100000000</v>
      </c>
      <c r="M29" s="391">
        <f>J29+150</f>
        <v>43637</v>
      </c>
      <c r="N29" s="412">
        <v>0</v>
      </c>
      <c r="O29" s="412">
        <f t="shared" si="1"/>
        <v>100000000</v>
      </c>
      <c r="P29" s="391">
        <v>43551</v>
      </c>
      <c r="Q29" s="338" t="s">
        <v>147</v>
      </c>
      <c r="R29" s="402"/>
      <c r="S29" s="338"/>
    </row>
    <row r="30" spans="1:19" s="13" customFormat="1">
      <c r="A30" s="13">
        <v>23</v>
      </c>
      <c r="B30" s="13">
        <v>36</v>
      </c>
      <c r="C30" s="13">
        <v>4968</v>
      </c>
      <c r="D30" s="13" t="s">
        <v>203</v>
      </c>
      <c r="E30" s="13" t="s">
        <v>165</v>
      </c>
      <c r="F30" s="36" t="s">
        <v>534</v>
      </c>
      <c r="G30" s="36" t="s">
        <v>269</v>
      </c>
      <c r="H30" s="318">
        <v>45000000</v>
      </c>
      <c r="I30" s="318">
        <v>45000000</v>
      </c>
      <c r="J30" s="11">
        <v>43484</v>
      </c>
      <c r="K30" s="11">
        <f t="shared" si="0"/>
        <v>43519</v>
      </c>
      <c r="L30" s="318">
        <v>45000000</v>
      </c>
      <c r="M30" s="11">
        <f>J30+180</f>
        <v>43664</v>
      </c>
      <c r="N30" s="318">
        <v>0</v>
      </c>
      <c r="O30" s="318">
        <f t="shared" si="1"/>
        <v>45000000</v>
      </c>
      <c r="P30" s="11">
        <v>43629</v>
      </c>
      <c r="Q30" s="13" t="s">
        <v>252</v>
      </c>
      <c r="R30" s="476" t="s">
        <v>640</v>
      </c>
    </row>
    <row r="31" spans="1:19" s="13" customFormat="1">
      <c r="A31" s="338">
        <v>39</v>
      </c>
      <c r="B31" s="338">
        <v>39</v>
      </c>
      <c r="C31" s="338">
        <v>4984</v>
      </c>
      <c r="D31" s="338" t="s">
        <v>204</v>
      </c>
      <c r="E31" s="338" t="s">
        <v>297</v>
      </c>
      <c r="F31" s="446" t="s">
        <v>546</v>
      </c>
      <c r="G31" s="446" t="s">
        <v>298</v>
      </c>
      <c r="H31" s="412">
        <v>100000000</v>
      </c>
      <c r="I31" s="412">
        <v>100000000</v>
      </c>
      <c r="J31" s="391">
        <v>43490</v>
      </c>
      <c r="K31" s="391">
        <f t="shared" si="0"/>
        <v>43525</v>
      </c>
      <c r="L31" s="412">
        <v>100000000</v>
      </c>
      <c r="M31" s="391">
        <f>J31+150</f>
        <v>43640</v>
      </c>
      <c r="N31" s="412">
        <v>100000000</v>
      </c>
      <c r="O31" s="412">
        <f t="shared" si="1"/>
        <v>0</v>
      </c>
      <c r="P31" s="391">
        <v>43637</v>
      </c>
      <c r="Q31" s="338" t="s">
        <v>147</v>
      </c>
      <c r="R31" s="402"/>
      <c r="S31" s="338"/>
    </row>
    <row r="32" spans="1:19" s="13" customFormat="1">
      <c r="A32" s="13">
        <v>100</v>
      </c>
      <c r="B32" s="13">
        <v>42</v>
      </c>
      <c r="C32" s="13">
        <v>5024</v>
      </c>
      <c r="D32" s="13" t="s">
        <v>204</v>
      </c>
      <c r="E32" s="13" t="s">
        <v>165</v>
      </c>
      <c r="F32" s="36" t="s">
        <v>588</v>
      </c>
      <c r="G32" s="36" t="s">
        <v>310</v>
      </c>
      <c r="H32" s="318">
        <v>44000000</v>
      </c>
      <c r="I32" s="318">
        <f>H32</f>
        <v>44000000</v>
      </c>
      <c r="J32" s="11">
        <v>43560</v>
      </c>
      <c r="K32" s="11">
        <f t="shared" si="0"/>
        <v>43595</v>
      </c>
      <c r="L32" s="318">
        <v>44000000</v>
      </c>
      <c r="M32" s="11">
        <f t="shared" ref="M32:M37" si="2">J32+180</f>
        <v>43740</v>
      </c>
      <c r="N32" s="404">
        <v>43999497.270000003</v>
      </c>
      <c r="O32" s="404">
        <f t="shared" si="1"/>
        <v>502.72999999672174</v>
      </c>
      <c r="P32" s="11">
        <v>43741</v>
      </c>
      <c r="Q32" s="13" t="s">
        <v>344</v>
      </c>
      <c r="R32" s="516" t="s">
        <v>718</v>
      </c>
    </row>
    <row r="33" spans="1:19" s="13" customFormat="1">
      <c r="A33" s="13">
        <v>29</v>
      </c>
      <c r="B33" s="13">
        <v>44</v>
      </c>
      <c r="C33" s="13">
        <v>4972</v>
      </c>
      <c r="D33" s="13" t="s">
        <v>203</v>
      </c>
      <c r="E33" s="13" t="s">
        <v>296</v>
      </c>
      <c r="F33" s="36" t="s">
        <v>536</v>
      </c>
      <c r="G33" s="36" t="s">
        <v>81</v>
      </c>
      <c r="H33" s="318">
        <v>25000000</v>
      </c>
      <c r="I33" s="318">
        <v>25000000</v>
      </c>
      <c r="J33" s="11">
        <v>43487</v>
      </c>
      <c r="K33" s="11">
        <f t="shared" si="0"/>
        <v>43522</v>
      </c>
      <c r="L33" s="318">
        <v>25000000</v>
      </c>
      <c r="M33" s="11">
        <f t="shared" si="2"/>
        <v>43667</v>
      </c>
      <c r="N33" s="318">
        <v>0</v>
      </c>
      <c r="O33" s="318">
        <f t="shared" si="1"/>
        <v>25000000</v>
      </c>
      <c r="P33" s="11">
        <v>43609</v>
      </c>
      <c r="Q33" s="13" t="s">
        <v>253</v>
      </c>
      <c r="R33" s="476" t="s">
        <v>641</v>
      </c>
    </row>
    <row r="34" spans="1:19" s="13" customFormat="1">
      <c r="A34" s="13">
        <v>30</v>
      </c>
      <c r="B34" s="13">
        <v>45</v>
      </c>
      <c r="C34" s="13">
        <v>4973</v>
      </c>
      <c r="D34" s="13" t="s">
        <v>204</v>
      </c>
      <c r="E34" s="13" t="s">
        <v>156</v>
      </c>
      <c r="F34" s="36" t="s">
        <v>537</v>
      </c>
      <c r="G34" s="36" t="s">
        <v>81</v>
      </c>
      <c r="H34" s="318">
        <v>20000000</v>
      </c>
      <c r="I34" s="318">
        <v>20000000</v>
      </c>
      <c r="J34" s="11">
        <v>43487</v>
      </c>
      <c r="K34" s="11">
        <f t="shared" si="0"/>
        <v>43522</v>
      </c>
      <c r="L34" s="318">
        <v>20000000</v>
      </c>
      <c r="M34" s="11">
        <f t="shared" si="2"/>
        <v>43667</v>
      </c>
      <c r="N34" s="404">
        <v>0</v>
      </c>
      <c r="O34" s="318">
        <f t="shared" si="1"/>
        <v>20000000</v>
      </c>
      <c r="P34" s="11">
        <v>43673</v>
      </c>
      <c r="Q34" s="13" t="s">
        <v>252</v>
      </c>
      <c r="R34" s="476" t="s">
        <v>641</v>
      </c>
      <c r="S34" s="338" t="s">
        <v>645</v>
      </c>
    </row>
    <row r="35" spans="1:19" s="13" customFormat="1">
      <c r="A35" s="13">
        <v>104</v>
      </c>
      <c r="B35" s="13">
        <v>46</v>
      </c>
      <c r="C35" s="13">
        <v>5026</v>
      </c>
      <c r="D35" s="13" t="s">
        <v>203</v>
      </c>
      <c r="E35" s="13" t="s">
        <v>296</v>
      </c>
      <c r="F35" s="36" t="s">
        <v>589</v>
      </c>
      <c r="G35" s="36" t="s">
        <v>81</v>
      </c>
      <c r="H35" s="318">
        <v>43000000</v>
      </c>
      <c r="I35" s="318">
        <f>H35</f>
        <v>43000000</v>
      </c>
      <c r="J35" s="11">
        <v>43586</v>
      </c>
      <c r="K35" s="11">
        <f t="shared" si="0"/>
        <v>43621</v>
      </c>
      <c r="L35" s="318">
        <v>43000000</v>
      </c>
      <c r="M35" s="11">
        <f t="shared" si="2"/>
        <v>43766</v>
      </c>
      <c r="N35" s="404">
        <v>0</v>
      </c>
      <c r="O35" s="318">
        <f t="shared" si="1"/>
        <v>43000000</v>
      </c>
      <c r="P35" s="11">
        <v>43726</v>
      </c>
      <c r="Q35" s="13" t="s">
        <v>344</v>
      </c>
      <c r="R35" s="516" t="s">
        <v>721</v>
      </c>
    </row>
    <row r="36" spans="1:19" s="13" customFormat="1">
      <c r="A36" s="13">
        <v>33</v>
      </c>
      <c r="B36" s="13">
        <v>48</v>
      </c>
      <c r="C36" s="13">
        <v>4976</v>
      </c>
      <c r="D36" s="13" t="s">
        <v>204</v>
      </c>
      <c r="E36" s="13" t="s">
        <v>299</v>
      </c>
      <c r="F36" s="36" t="s">
        <v>541</v>
      </c>
      <c r="G36" s="36" t="s">
        <v>300</v>
      </c>
      <c r="H36" s="318">
        <v>25000000</v>
      </c>
      <c r="I36" s="318">
        <f>H36</f>
        <v>25000000</v>
      </c>
      <c r="J36" s="11">
        <v>43488</v>
      </c>
      <c r="K36" s="11">
        <f t="shared" si="0"/>
        <v>43523</v>
      </c>
      <c r="L36" s="318">
        <v>25000000</v>
      </c>
      <c r="M36" s="11">
        <f t="shared" si="2"/>
        <v>43668</v>
      </c>
      <c r="N36" s="404">
        <f>24315000+684710.4</f>
        <v>24999710.399999999</v>
      </c>
      <c r="O36" s="404">
        <f t="shared" si="1"/>
        <v>289.60000000149012</v>
      </c>
      <c r="P36" s="11">
        <v>43673</v>
      </c>
      <c r="Q36" s="13" t="s">
        <v>253</v>
      </c>
      <c r="R36" s="476" t="s">
        <v>644</v>
      </c>
    </row>
    <row r="37" spans="1:19" s="13" customFormat="1">
      <c r="A37" s="13">
        <v>34</v>
      </c>
      <c r="B37" s="13">
        <v>49</v>
      </c>
      <c r="C37" s="13">
        <v>4977</v>
      </c>
      <c r="D37" s="13" t="s">
        <v>204</v>
      </c>
      <c r="E37" s="13" t="s">
        <v>533</v>
      </c>
      <c r="F37" s="36" t="s">
        <v>542</v>
      </c>
      <c r="G37" s="36" t="s">
        <v>79</v>
      </c>
      <c r="H37" s="318">
        <v>20000000</v>
      </c>
      <c r="I37" s="318">
        <f>H37</f>
        <v>20000000</v>
      </c>
      <c r="J37" s="11">
        <v>43488</v>
      </c>
      <c r="K37" s="11">
        <f t="shared" si="0"/>
        <v>43523</v>
      </c>
      <c r="L37" s="318">
        <v>20000000</v>
      </c>
      <c r="M37" s="11">
        <f t="shared" si="2"/>
        <v>43668</v>
      </c>
      <c r="N37" s="318">
        <v>20000000</v>
      </c>
      <c r="O37" s="318">
        <f t="shared" si="1"/>
        <v>0</v>
      </c>
      <c r="P37" s="11">
        <v>43673</v>
      </c>
      <c r="Q37" s="13" t="s">
        <v>253</v>
      </c>
      <c r="R37" s="476" t="s">
        <v>644</v>
      </c>
    </row>
    <row r="38" spans="1:19" s="5" customFormat="1">
      <c r="A38" s="13">
        <v>35</v>
      </c>
      <c r="B38" s="13">
        <v>50</v>
      </c>
      <c r="C38" s="13" t="s">
        <v>517</v>
      </c>
      <c r="D38" s="13" t="s">
        <v>203</v>
      </c>
      <c r="E38" s="13" t="s">
        <v>302</v>
      </c>
      <c r="F38" s="36" t="s">
        <v>543</v>
      </c>
      <c r="G38" s="36" t="s">
        <v>318</v>
      </c>
      <c r="H38" s="318">
        <v>0</v>
      </c>
      <c r="I38" s="318"/>
      <c r="J38" s="11"/>
      <c r="K38" s="11"/>
      <c r="L38" s="318"/>
      <c r="M38" s="11"/>
      <c r="N38" s="318"/>
      <c r="O38" s="318"/>
      <c r="P38" s="11"/>
      <c r="Q38" s="13" t="s">
        <v>252</v>
      </c>
      <c r="R38" s="402" t="s">
        <v>649</v>
      </c>
      <c r="S38" s="13"/>
    </row>
    <row r="39" spans="1:19" s="13" customFormat="1">
      <c r="A39" s="13">
        <v>36</v>
      </c>
      <c r="B39" s="13">
        <v>51</v>
      </c>
      <c r="C39" s="13">
        <v>4980</v>
      </c>
      <c r="D39" s="13" t="s">
        <v>204</v>
      </c>
      <c r="E39" s="13" t="s">
        <v>301</v>
      </c>
      <c r="F39" s="36" t="s">
        <v>544</v>
      </c>
      <c r="G39" s="36" t="s">
        <v>274</v>
      </c>
      <c r="H39" s="318">
        <v>11000000</v>
      </c>
      <c r="I39" s="318">
        <v>11000000</v>
      </c>
      <c r="J39" s="11">
        <v>43489</v>
      </c>
      <c r="K39" s="11">
        <f>J39+35</f>
        <v>43524</v>
      </c>
      <c r="L39" s="318">
        <v>11000000</v>
      </c>
      <c r="M39" s="11">
        <f>J39+180</f>
        <v>43669</v>
      </c>
      <c r="N39" s="318">
        <v>10700000</v>
      </c>
      <c r="O39" s="318">
        <f>L39-N39</f>
        <v>300000</v>
      </c>
      <c r="P39" s="11">
        <v>43672</v>
      </c>
      <c r="Q39" s="13" t="s">
        <v>252</v>
      </c>
      <c r="R39" s="476" t="s">
        <v>650</v>
      </c>
    </row>
    <row r="40" spans="1:19" s="13" customFormat="1">
      <c r="A40" s="13">
        <v>38</v>
      </c>
      <c r="B40" s="13">
        <v>53</v>
      </c>
      <c r="C40" s="13">
        <v>4981</v>
      </c>
      <c r="D40" s="13" t="s">
        <v>204</v>
      </c>
      <c r="E40" s="13" t="s">
        <v>545</v>
      </c>
      <c r="F40" s="36" t="s">
        <v>210</v>
      </c>
      <c r="G40" s="36" t="s">
        <v>79</v>
      </c>
      <c r="H40" s="318">
        <v>5000000</v>
      </c>
      <c r="I40" s="318">
        <v>5000000</v>
      </c>
      <c r="J40" s="11">
        <v>43489</v>
      </c>
      <c r="K40" s="11">
        <f>J40+35</f>
        <v>43524</v>
      </c>
      <c r="L40" s="318">
        <v>5000000</v>
      </c>
      <c r="M40" s="11">
        <f>J40+180</f>
        <v>43669</v>
      </c>
      <c r="N40" s="404">
        <v>0</v>
      </c>
      <c r="O40" s="318">
        <f>L40-N40</f>
        <v>5000000</v>
      </c>
      <c r="P40" s="11">
        <v>43642</v>
      </c>
      <c r="Q40" s="13" t="s">
        <v>252</v>
      </c>
      <c r="R40" s="476" t="s">
        <v>642</v>
      </c>
      <c r="S40" s="338" t="s">
        <v>657</v>
      </c>
    </row>
    <row r="41" spans="1:19" s="13" customFormat="1">
      <c r="A41" s="13">
        <v>43</v>
      </c>
      <c r="B41" s="13">
        <v>58</v>
      </c>
      <c r="C41" s="13" t="s">
        <v>518</v>
      </c>
      <c r="D41" s="13" t="s">
        <v>203</v>
      </c>
      <c r="E41" s="13" t="s">
        <v>533</v>
      </c>
      <c r="F41" s="36" t="s">
        <v>286</v>
      </c>
      <c r="G41" s="36" t="s">
        <v>79</v>
      </c>
      <c r="H41" s="318">
        <v>0</v>
      </c>
      <c r="I41" s="318"/>
      <c r="J41" s="11"/>
      <c r="K41" s="11"/>
      <c r="L41" s="318"/>
      <c r="M41" s="11"/>
      <c r="N41" s="318"/>
      <c r="O41" s="318"/>
      <c r="P41" s="11"/>
      <c r="Q41" s="13" t="s">
        <v>253</v>
      </c>
      <c r="R41" s="402" t="s">
        <v>654</v>
      </c>
    </row>
    <row r="42" spans="1:19" s="13" customFormat="1">
      <c r="A42" s="13">
        <v>121</v>
      </c>
      <c r="B42" s="13">
        <v>63</v>
      </c>
      <c r="C42" s="13" t="s">
        <v>561</v>
      </c>
      <c r="D42" s="13" t="s">
        <v>203</v>
      </c>
      <c r="E42" s="13" t="s">
        <v>302</v>
      </c>
      <c r="F42" s="36" t="s">
        <v>594</v>
      </c>
      <c r="G42" s="36" t="s">
        <v>318</v>
      </c>
      <c r="H42" s="318">
        <v>0</v>
      </c>
      <c r="I42" s="318"/>
      <c r="J42" s="11"/>
      <c r="K42" s="11"/>
      <c r="L42" s="355"/>
      <c r="M42" s="11"/>
      <c r="N42" s="355"/>
      <c r="O42" s="355"/>
      <c r="P42" s="11"/>
      <c r="Q42" s="13" t="s">
        <v>344</v>
      </c>
      <c r="R42" s="43" t="s">
        <v>746</v>
      </c>
    </row>
    <row r="43" spans="1:19" s="5" customFormat="1">
      <c r="A43" s="13">
        <v>123</v>
      </c>
      <c r="B43" s="13">
        <v>64</v>
      </c>
      <c r="C43" s="13" t="s">
        <v>562</v>
      </c>
      <c r="D43" s="13" t="s">
        <v>203</v>
      </c>
      <c r="E43" s="13" t="s">
        <v>595</v>
      </c>
      <c r="F43" s="36" t="s">
        <v>596</v>
      </c>
      <c r="G43" s="36" t="s">
        <v>81</v>
      </c>
      <c r="H43" s="318">
        <v>0</v>
      </c>
      <c r="I43" s="318"/>
      <c r="J43" s="11"/>
      <c r="K43" s="11"/>
      <c r="L43" s="355"/>
      <c r="M43" s="11"/>
      <c r="N43" s="355"/>
      <c r="O43" s="355"/>
      <c r="P43" s="11"/>
      <c r="Q43" s="13" t="s">
        <v>344</v>
      </c>
      <c r="R43" s="43"/>
      <c r="S43" s="13"/>
    </row>
    <row r="44" spans="1:19" s="13" customFormat="1">
      <c r="A44" s="13">
        <v>52</v>
      </c>
      <c r="B44" s="13">
        <v>68</v>
      </c>
      <c r="C44" s="13" t="s">
        <v>547</v>
      </c>
      <c r="D44" s="13" t="s">
        <v>203</v>
      </c>
      <c r="E44" s="13" t="s">
        <v>564</v>
      </c>
      <c r="F44" s="36" t="s">
        <v>565</v>
      </c>
      <c r="G44" s="36" t="s">
        <v>80</v>
      </c>
      <c r="H44" s="318">
        <v>0</v>
      </c>
      <c r="I44" s="318"/>
      <c r="J44" s="11"/>
      <c r="K44" s="11"/>
      <c r="L44" s="318"/>
      <c r="M44" s="11"/>
      <c r="N44" s="318"/>
      <c r="O44" s="318"/>
      <c r="P44" s="11"/>
      <c r="Q44" s="13" t="s">
        <v>410</v>
      </c>
      <c r="R44" s="402" t="s">
        <v>659</v>
      </c>
    </row>
    <row r="45" spans="1:19" s="447" customFormat="1">
      <c r="A45" s="13">
        <v>53</v>
      </c>
      <c r="B45" s="13">
        <v>69</v>
      </c>
      <c r="C45" s="13" t="s">
        <v>548</v>
      </c>
      <c r="D45" s="13" t="s">
        <v>203</v>
      </c>
      <c r="E45" s="13" t="s">
        <v>321</v>
      </c>
      <c r="F45" s="36" t="s">
        <v>322</v>
      </c>
      <c r="G45" s="36" t="s">
        <v>323</v>
      </c>
      <c r="H45" s="318">
        <v>0</v>
      </c>
      <c r="I45" s="318"/>
      <c r="J45" s="11"/>
      <c r="K45" s="11"/>
      <c r="L45" s="318"/>
      <c r="M45" s="11"/>
      <c r="N45" s="318"/>
      <c r="O45" s="318"/>
      <c r="P45" s="11"/>
      <c r="Q45" s="13" t="s">
        <v>410</v>
      </c>
      <c r="R45" s="402"/>
      <c r="S45" s="13"/>
    </row>
    <row r="46" spans="1:19" s="338" customFormat="1">
      <c r="A46" s="13">
        <v>55</v>
      </c>
      <c r="B46" s="13">
        <v>71</v>
      </c>
      <c r="C46" s="13" t="s">
        <v>549</v>
      </c>
      <c r="D46" s="13" t="s">
        <v>203</v>
      </c>
      <c r="E46" s="13" t="s">
        <v>324</v>
      </c>
      <c r="F46" s="36" t="s">
        <v>566</v>
      </c>
      <c r="G46" s="36" t="s">
        <v>312</v>
      </c>
      <c r="H46" s="318">
        <v>0</v>
      </c>
      <c r="I46" s="318"/>
      <c r="J46" s="11"/>
      <c r="K46" s="11"/>
      <c r="L46" s="318"/>
      <c r="M46" s="11"/>
      <c r="N46" s="404"/>
      <c r="O46" s="404"/>
      <c r="P46" s="11"/>
      <c r="Q46" s="13" t="s">
        <v>410</v>
      </c>
      <c r="R46" s="402" t="s">
        <v>651</v>
      </c>
      <c r="S46" s="13"/>
    </row>
    <row r="47" spans="1:19" s="13" customFormat="1">
      <c r="A47" s="13">
        <v>59</v>
      </c>
      <c r="B47" s="13">
        <v>74</v>
      </c>
      <c r="C47" s="13">
        <v>4990</v>
      </c>
      <c r="D47" s="13" t="s">
        <v>203</v>
      </c>
      <c r="E47" s="13" t="s">
        <v>301</v>
      </c>
      <c r="F47" s="36" t="s">
        <v>568</v>
      </c>
      <c r="G47" s="36" t="s">
        <v>79</v>
      </c>
      <c r="H47" s="318">
        <v>14500000</v>
      </c>
      <c r="I47" s="318">
        <v>14500000</v>
      </c>
      <c r="J47" s="11">
        <v>43494</v>
      </c>
      <c r="K47" s="11">
        <f>J47+35</f>
        <v>43529</v>
      </c>
      <c r="L47" s="318">
        <v>0</v>
      </c>
      <c r="M47" s="11">
        <f>J47+180</f>
        <v>43674</v>
      </c>
      <c r="N47" s="318">
        <v>0</v>
      </c>
      <c r="O47" s="318">
        <f>I47-L47</f>
        <v>14500000</v>
      </c>
      <c r="P47" s="11">
        <v>43519</v>
      </c>
      <c r="Q47" s="13" t="s">
        <v>410</v>
      </c>
      <c r="R47" s="476" t="s">
        <v>663</v>
      </c>
    </row>
    <row r="48" spans="1:19" s="13" customFormat="1">
      <c r="A48" s="338">
        <v>76</v>
      </c>
      <c r="B48" s="338">
        <v>76</v>
      </c>
      <c r="C48" s="338">
        <v>4999</v>
      </c>
      <c r="D48" s="338" t="s">
        <v>204</v>
      </c>
      <c r="E48" s="338" t="s">
        <v>83</v>
      </c>
      <c r="F48" s="446" t="s">
        <v>578</v>
      </c>
      <c r="G48" s="446" t="s">
        <v>579</v>
      </c>
      <c r="H48" s="412">
        <v>50000000</v>
      </c>
      <c r="I48" s="412">
        <f>H48</f>
        <v>50000000</v>
      </c>
      <c r="J48" s="391">
        <v>43495</v>
      </c>
      <c r="K48" s="391">
        <f>J48+35</f>
        <v>43530</v>
      </c>
      <c r="L48" s="412">
        <v>50000000</v>
      </c>
      <c r="M48" s="391">
        <f>J48+150</f>
        <v>43645</v>
      </c>
      <c r="N48" s="412">
        <v>0</v>
      </c>
      <c r="O48" s="412">
        <f>L48-N48</f>
        <v>50000000</v>
      </c>
      <c r="P48" s="391">
        <v>43622</v>
      </c>
      <c r="Q48" s="412" t="s">
        <v>147</v>
      </c>
      <c r="R48" s="223"/>
      <c r="S48" s="338" t="s">
        <v>670</v>
      </c>
    </row>
    <row r="49" spans="1:19" s="5" customFormat="1">
      <c r="A49" s="338">
        <v>78</v>
      </c>
      <c r="B49" s="338">
        <v>78</v>
      </c>
      <c r="C49" s="338">
        <v>5000</v>
      </c>
      <c r="D49" s="338" t="s">
        <v>203</v>
      </c>
      <c r="E49" s="338" t="s">
        <v>305</v>
      </c>
      <c r="F49" s="446" t="s">
        <v>306</v>
      </c>
      <c r="G49" s="446" t="s">
        <v>307</v>
      </c>
      <c r="H49" s="412">
        <v>80000000</v>
      </c>
      <c r="I49" s="412">
        <f>H49</f>
        <v>80000000</v>
      </c>
      <c r="J49" s="391">
        <v>43495</v>
      </c>
      <c r="K49" s="391">
        <f>J49+35</f>
        <v>43530</v>
      </c>
      <c r="L49" s="412">
        <v>80000000</v>
      </c>
      <c r="M49" s="391">
        <f>J49+150</f>
        <v>43645</v>
      </c>
      <c r="N49" s="492">
        <v>0</v>
      </c>
      <c r="O49" s="412">
        <f>L49-N49</f>
        <v>80000000</v>
      </c>
      <c r="P49" s="391">
        <v>43614</v>
      </c>
      <c r="Q49" s="338" t="s">
        <v>147</v>
      </c>
      <c r="R49" s="223"/>
      <c r="S49" s="338"/>
    </row>
    <row r="50" spans="1:19" s="13" customFormat="1">
      <c r="A50" s="13">
        <v>73</v>
      </c>
      <c r="B50" s="13">
        <v>84</v>
      </c>
      <c r="C50" s="13">
        <v>4998</v>
      </c>
      <c r="D50" s="13" t="s">
        <v>203</v>
      </c>
      <c r="E50" s="13" t="s">
        <v>324</v>
      </c>
      <c r="F50" s="36" t="s">
        <v>575</v>
      </c>
      <c r="G50" s="36" t="s">
        <v>576</v>
      </c>
      <c r="H50" s="318">
        <v>26000000</v>
      </c>
      <c r="I50" s="318">
        <f>H50</f>
        <v>26000000</v>
      </c>
      <c r="J50" s="11">
        <v>43495</v>
      </c>
      <c r="K50" s="11">
        <f>J50+35</f>
        <v>43530</v>
      </c>
      <c r="L50" s="318">
        <v>26000000</v>
      </c>
      <c r="M50" s="11">
        <f>J50+180</f>
        <v>43675</v>
      </c>
      <c r="N50" s="318">
        <v>0</v>
      </c>
      <c r="O50" s="318">
        <f>L50-N50</f>
        <v>26000000</v>
      </c>
      <c r="P50" s="11">
        <v>43659</v>
      </c>
      <c r="Q50" s="13" t="s">
        <v>410</v>
      </c>
      <c r="R50" s="476" t="s">
        <v>671</v>
      </c>
    </row>
    <row r="51" spans="1:19" s="13" customFormat="1">
      <c r="A51" s="13">
        <v>79</v>
      </c>
      <c r="B51" s="13">
        <v>87</v>
      </c>
      <c r="C51" s="13" t="s">
        <v>554</v>
      </c>
      <c r="D51" s="13" t="s">
        <v>203</v>
      </c>
      <c r="E51" s="13" t="s">
        <v>324</v>
      </c>
      <c r="F51" s="36" t="s">
        <v>580</v>
      </c>
      <c r="G51" s="36" t="s">
        <v>80</v>
      </c>
      <c r="H51" s="318">
        <v>0</v>
      </c>
      <c r="I51" s="318"/>
      <c r="J51" s="11"/>
      <c r="K51" s="11"/>
      <c r="L51" s="318"/>
      <c r="M51" s="11"/>
      <c r="N51" s="318"/>
      <c r="O51" s="318"/>
      <c r="P51" s="11"/>
      <c r="Q51" s="318" t="s">
        <v>410</v>
      </c>
      <c r="R51" s="402" t="s">
        <v>697</v>
      </c>
    </row>
    <row r="52" spans="1:19" s="5" customFormat="1">
      <c r="A52" s="13">
        <v>80</v>
      </c>
      <c r="B52" s="13">
        <v>88</v>
      </c>
      <c r="C52" s="13" t="s">
        <v>555</v>
      </c>
      <c r="D52" s="13" t="s">
        <v>203</v>
      </c>
      <c r="E52" s="13" t="s">
        <v>324</v>
      </c>
      <c r="F52" s="36" t="s">
        <v>581</v>
      </c>
      <c r="G52" s="36" t="s">
        <v>80</v>
      </c>
      <c r="H52" s="318">
        <v>0</v>
      </c>
      <c r="I52" s="13"/>
      <c r="J52" s="11"/>
      <c r="K52" s="11"/>
      <c r="L52" s="355"/>
      <c r="M52" s="11"/>
      <c r="N52" s="355"/>
      <c r="O52" s="355"/>
      <c r="P52" s="11"/>
      <c r="Q52" s="13" t="s">
        <v>410</v>
      </c>
      <c r="R52" s="43"/>
      <c r="S52" s="13"/>
    </row>
    <row r="53" spans="1:19" s="13" customFormat="1">
      <c r="A53" s="13">
        <v>83</v>
      </c>
      <c r="B53" s="13">
        <v>91</v>
      </c>
      <c r="C53" s="13">
        <v>5015</v>
      </c>
      <c r="D53" s="13" t="s">
        <v>204</v>
      </c>
      <c r="E53" s="13" t="s">
        <v>316</v>
      </c>
      <c r="F53" s="36" t="s">
        <v>317</v>
      </c>
      <c r="G53" s="36" t="s">
        <v>149</v>
      </c>
      <c r="H53" s="318">
        <v>5000000</v>
      </c>
      <c r="I53" s="318">
        <v>5000000</v>
      </c>
      <c r="J53" s="11">
        <v>43523</v>
      </c>
      <c r="K53" s="11">
        <f>J53+35</f>
        <v>43558</v>
      </c>
      <c r="L53" s="318">
        <v>5000000</v>
      </c>
      <c r="M53" s="11">
        <f>J53+180</f>
        <v>43703</v>
      </c>
      <c r="N53" s="318">
        <v>5000000</v>
      </c>
      <c r="O53" s="318">
        <f>L53-N53</f>
        <v>0</v>
      </c>
      <c r="P53" s="11">
        <v>43642</v>
      </c>
      <c r="Q53" s="13" t="s">
        <v>410</v>
      </c>
      <c r="R53" s="516" t="s">
        <v>696</v>
      </c>
    </row>
    <row r="54" spans="1:19" s="13" customFormat="1">
      <c r="A54" s="13">
        <v>85</v>
      </c>
      <c r="B54" s="13">
        <v>93</v>
      </c>
      <c r="C54" s="13">
        <v>5022</v>
      </c>
      <c r="D54" s="13" t="s">
        <v>203</v>
      </c>
      <c r="E54" s="13" t="s">
        <v>304</v>
      </c>
      <c r="F54" s="36" t="s">
        <v>582</v>
      </c>
      <c r="G54" s="36" t="s">
        <v>189</v>
      </c>
      <c r="H54" s="318">
        <v>32000000</v>
      </c>
      <c r="I54" s="318">
        <f>H54</f>
        <v>32000000</v>
      </c>
      <c r="J54" s="11">
        <v>43557</v>
      </c>
      <c r="K54" s="11">
        <f>J54+35</f>
        <v>43592</v>
      </c>
      <c r="L54" s="318">
        <v>32000000</v>
      </c>
      <c r="M54" s="11">
        <f>J54+180</f>
        <v>43737</v>
      </c>
      <c r="N54" s="318">
        <v>0</v>
      </c>
      <c r="O54" s="318">
        <f>L54-N54</f>
        <v>32000000</v>
      </c>
      <c r="P54" s="11">
        <v>43645</v>
      </c>
      <c r="Q54" s="13" t="s">
        <v>410</v>
      </c>
      <c r="R54" s="516" t="s">
        <v>711</v>
      </c>
    </row>
    <row r="55" spans="1:19" s="5" customFormat="1">
      <c r="A55" s="13">
        <v>92</v>
      </c>
      <c r="B55" s="13">
        <v>99</v>
      </c>
      <c r="C55" s="13" t="s">
        <v>556</v>
      </c>
      <c r="D55" s="13" t="s">
        <v>203</v>
      </c>
      <c r="E55" s="13" t="s">
        <v>324</v>
      </c>
      <c r="F55" s="36" t="s">
        <v>583</v>
      </c>
      <c r="G55" s="36" t="s">
        <v>80</v>
      </c>
      <c r="H55" s="318">
        <v>0</v>
      </c>
      <c r="I55" s="318"/>
      <c r="J55" s="11"/>
      <c r="K55" s="11"/>
      <c r="L55" s="318"/>
      <c r="M55" s="11"/>
      <c r="N55" s="355"/>
      <c r="O55" s="355"/>
      <c r="P55" s="11"/>
      <c r="Q55" s="13" t="s">
        <v>410</v>
      </c>
      <c r="R55" s="43"/>
      <c r="S55" s="13"/>
    </row>
    <row r="56" spans="1:19" s="13" customFormat="1">
      <c r="A56" s="13">
        <v>93</v>
      </c>
      <c r="B56" s="13">
        <v>100</v>
      </c>
      <c r="C56" s="13">
        <v>5023</v>
      </c>
      <c r="D56" s="13" t="s">
        <v>204</v>
      </c>
      <c r="E56" s="13" t="s">
        <v>324</v>
      </c>
      <c r="F56" s="36" t="s">
        <v>584</v>
      </c>
      <c r="G56" s="36" t="s">
        <v>80</v>
      </c>
      <c r="H56" s="318">
        <v>37500000</v>
      </c>
      <c r="I56" s="318">
        <f>H56</f>
        <v>37500000</v>
      </c>
      <c r="J56" s="11">
        <v>43557</v>
      </c>
      <c r="K56" s="11">
        <f>J56+35</f>
        <v>43592</v>
      </c>
      <c r="L56" s="318">
        <v>37500000</v>
      </c>
      <c r="M56" s="11">
        <f>J56+180</f>
        <v>43737</v>
      </c>
      <c r="N56" s="318">
        <v>30000000</v>
      </c>
      <c r="O56" s="355">
        <f>L56-N56</f>
        <v>7500000</v>
      </c>
      <c r="P56" s="11">
        <v>43741</v>
      </c>
      <c r="Q56" s="13" t="s">
        <v>410</v>
      </c>
      <c r="R56" s="516" t="s">
        <v>711</v>
      </c>
    </row>
    <row r="57" spans="1:19" s="338" customFormat="1">
      <c r="A57" s="13">
        <v>98</v>
      </c>
      <c r="B57" s="13">
        <v>104</v>
      </c>
      <c r="C57" s="13" t="s">
        <v>557</v>
      </c>
      <c r="D57" s="13" t="s">
        <v>203</v>
      </c>
      <c r="E57" s="13" t="s">
        <v>165</v>
      </c>
      <c r="F57" s="36" t="s">
        <v>585</v>
      </c>
      <c r="G57" s="36" t="s">
        <v>95</v>
      </c>
      <c r="H57" s="318">
        <v>0</v>
      </c>
      <c r="I57" s="318"/>
      <c r="J57" s="11"/>
      <c r="K57" s="11"/>
      <c r="L57" s="318"/>
      <c r="M57" s="11"/>
      <c r="N57" s="355"/>
      <c r="O57" s="355"/>
      <c r="P57" s="11"/>
      <c r="Q57" s="13" t="s">
        <v>410</v>
      </c>
      <c r="R57" s="43" t="s">
        <v>709</v>
      </c>
      <c r="S57" s="13"/>
    </row>
    <row r="58" spans="1:19" s="5" customFormat="1">
      <c r="A58" s="13">
        <v>99</v>
      </c>
      <c r="B58" s="13">
        <v>105</v>
      </c>
      <c r="C58" s="13" t="s">
        <v>558</v>
      </c>
      <c r="D58" s="13" t="s">
        <v>203</v>
      </c>
      <c r="E58" s="13" t="s">
        <v>586</v>
      </c>
      <c r="F58" s="36" t="s">
        <v>587</v>
      </c>
      <c r="G58" s="36" t="s">
        <v>78</v>
      </c>
      <c r="H58" s="318">
        <v>0</v>
      </c>
      <c r="I58" s="10"/>
      <c r="J58" s="11"/>
      <c r="K58" s="11"/>
      <c r="L58" s="355"/>
      <c r="M58" s="11"/>
      <c r="N58" s="355"/>
      <c r="O58" s="355"/>
      <c r="P58" s="11"/>
      <c r="Q58" s="13" t="s">
        <v>410</v>
      </c>
      <c r="R58" s="43" t="s">
        <v>712</v>
      </c>
      <c r="S58" s="13"/>
    </row>
    <row r="59" spans="1:19" s="13" customFormat="1">
      <c r="A59" s="338">
        <v>110</v>
      </c>
      <c r="B59" s="338">
        <v>110</v>
      </c>
      <c r="C59" s="338">
        <v>5008</v>
      </c>
      <c r="D59" s="338" t="s">
        <v>203</v>
      </c>
      <c r="E59" s="338" t="s">
        <v>83</v>
      </c>
      <c r="F59" s="446" t="s">
        <v>590</v>
      </c>
      <c r="G59" s="446" t="s">
        <v>273</v>
      </c>
      <c r="H59" s="412">
        <v>35000000</v>
      </c>
      <c r="I59" s="412">
        <v>35000000</v>
      </c>
      <c r="J59" s="391">
        <v>43517</v>
      </c>
      <c r="K59" s="391">
        <f>J59+35</f>
        <v>43552</v>
      </c>
      <c r="L59" s="412">
        <v>35000000</v>
      </c>
      <c r="M59" s="391">
        <f>J59+150</f>
        <v>43667</v>
      </c>
      <c r="N59" s="412">
        <v>0</v>
      </c>
      <c r="O59" s="412">
        <f>L59-N59</f>
        <v>35000000</v>
      </c>
      <c r="P59" s="391">
        <v>43567</v>
      </c>
      <c r="Q59" s="338" t="s">
        <v>147</v>
      </c>
      <c r="R59" s="223"/>
      <c r="S59" s="338" t="s">
        <v>670</v>
      </c>
    </row>
    <row r="60" spans="1:19" s="13" customFormat="1">
      <c r="A60" s="13">
        <v>112</v>
      </c>
      <c r="B60" s="13">
        <v>117</v>
      </c>
      <c r="C60" s="13">
        <v>5027</v>
      </c>
      <c r="D60" s="13" t="s">
        <v>203</v>
      </c>
      <c r="E60" s="13" t="s">
        <v>314</v>
      </c>
      <c r="F60" s="36" t="s">
        <v>591</v>
      </c>
      <c r="G60" s="36" t="s">
        <v>142</v>
      </c>
      <c r="H60" s="318">
        <v>40000000</v>
      </c>
      <c r="I60" s="318">
        <f>H60</f>
        <v>40000000</v>
      </c>
      <c r="J60" s="11">
        <v>43586</v>
      </c>
      <c r="K60" s="11">
        <f>J60+35</f>
        <v>43621</v>
      </c>
      <c r="L60" s="318">
        <v>40000000</v>
      </c>
      <c r="M60" s="11">
        <f>J60+180</f>
        <v>43766</v>
      </c>
      <c r="N60" s="318">
        <v>0</v>
      </c>
      <c r="O60" s="318">
        <f>L60-N60</f>
        <v>40000000</v>
      </c>
      <c r="P60" s="11">
        <v>43753</v>
      </c>
      <c r="Q60" s="13" t="s">
        <v>410</v>
      </c>
      <c r="R60" s="516" t="s">
        <v>721</v>
      </c>
    </row>
    <row r="61" spans="1:19" s="13" customFormat="1">
      <c r="A61" s="13">
        <v>114</v>
      </c>
      <c r="B61" s="13">
        <v>118</v>
      </c>
      <c r="C61" s="13" t="s">
        <v>559</v>
      </c>
      <c r="D61" s="13" t="s">
        <v>203</v>
      </c>
      <c r="E61" s="13" t="s">
        <v>533</v>
      </c>
      <c r="F61" s="36" t="s">
        <v>289</v>
      </c>
      <c r="G61" s="36" t="s">
        <v>79</v>
      </c>
      <c r="H61" s="318">
        <v>0</v>
      </c>
      <c r="I61" s="318"/>
      <c r="J61" s="11"/>
      <c r="K61" s="11"/>
      <c r="L61" s="355"/>
      <c r="M61" s="11"/>
      <c r="N61" s="355"/>
      <c r="O61" s="355"/>
      <c r="P61" s="11"/>
      <c r="Q61" s="13" t="s">
        <v>410</v>
      </c>
      <c r="R61" s="43" t="s">
        <v>720</v>
      </c>
    </row>
    <row r="62" spans="1:19" s="13" customFormat="1">
      <c r="A62" s="13">
        <v>115</v>
      </c>
      <c r="B62" s="13">
        <v>119</v>
      </c>
      <c r="C62" s="13">
        <v>5028</v>
      </c>
      <c r="D62" s="13" t="s">
        <v>203</v>
      </c>
      <c r="E62" s="13" t="s">
        <v>324</v>
      </c>
      <c r="F62" s="36" t="s">
        <v>592</v>
      </c>
      <c r="G62" s="36" t="s">
        <v>80</v>
      </c>
      <c r="H62" s="318">
        <v>40000000</v>
      </c>
      <c r="I62" s="318">
        <f>H62</f>
        <v>40000000</v>
      </c>
      <c r="J62" s="11">
        <v>43586</v>
      </c>
      <c r="K62" s="11">
        <f>J62+35</f>
        <v>43621</v>
      </c>
      <c r="L62" s="318">
        <v>40000000</v>
      </c>
      <c r="M62" s="11">
        <f>J62+180</f>
        <v>43766</v>
      </c>
      <c r="N62" s="318">
        <v>0</v>
      </c>
      <c r="O62" s="318">
        <f>L62-N62</f>
        <v>40000000</v>
      </c>
      <c r="P62" s="11">
        <v>43761</v>
      </c>
      <c r="Q62" s="13" t="s">
        <v>410</v>
      </c>
      <c r="R62" s="516" t="s">
        <v>723</v>
      </c>
    </row>
    <row r="63" spans="1:19" s="13" customFormat="1">
      <c r="A63" s="13">
        <v>118</v>
      </c>
      <c r="B63" s="13">
        <v>121</v>
      </c>
      <c r="C63" s="13" t="s">
        <v>560</v>
      </c>
      <c r="D63" s="13" t="s">
        <v>203</v>
      </c>
      <c r="E63" s="13" t="s">
        <v>324</v>
      </c>
      <c r="F63" s="36" t="s">
        <v>593</v>
      </c>
      <c r="G63" s="36" t="s">
        <v>312</v>
      </c>
      <c r="H63" s="318">
        <v>0</v>
      </c>
      <c r="I63" s="318"/>
      <c r="J63" s="11"/>
      <c r="K63" s="11"/>
      <c r="L63" s="355"/>
      <c r="M63" s="11"/>
      <c r="N63" s="355"/>
      <c r="O63" s="355"/>
      <c r="P63" s="11"/>
      <c r="Q63" s="13" t="s">
        <v>410</v>
      </c>
      <c r="R63" s="43"/>
    </row>
    <row r="64" spans="1:19" s="13" customFormat="1">
      <c r="A64" s="13">
        <v>119</v>
      </c>
      <c r="B64" s="13">
        <v>122</v>
      </c>
      <c r="C64" s="13">
        <v>5033</v>
      </c>
      <c r="D64" s="13" t="s">
        <v>203</v>
      </c>
      <c r="E64" s="13" t="s">
        <v>165</v>
      </c>
      <c r="F64" s="36" t="s">
        <v>353</v>
      </c>
      <c r="G64" s="36" t="s">
        <v>354</v>
      </c>
      <c r="H64" s="318">
        <v>55200000</v>
      </c>
      <c r="I64" s="318">
        <v>55200000</v>
      </c>
      <c r="J64" s="11">
        <v>43610</v>
      </c>
      <c r="K64" s="11">
        <f>J64+35</f>
        <v>43645</v>
      </c>
      <c r="L64" s="318">
        <v>55200000</v>
      </c>
      <c r="M64" s="11">
        <f>J64+180</f>
        <v>43790</v>
      </c>
      <c r="N64" s="318">
        <v>0</v>
      </c>
      <c r="O64" s="318">
        <f>L64-N64</f>
        <v>55200000</v>
      </c>
      <c r="P64" s="11">
        <v>43795</v>
      </c>
      <c r="Q64" s="13" t="s">
        <v>410</v>
      </c>
      <c r="R64" s="516" t="s">
        <v>737</v>
      </c>
    </row>
    <row r="65" spans="1:19" s="338" customFormat="1">
      <c r="A65" s="338">
        <v>125</v>
      </c>
      <c r="B65" s="338">
        <v>125</v>
      </c>
      <c r="C65" s="338">
        <v>5034</v>
      </c>
      <c r="D65" s="338" t="s">
        <v>203</v>
      </c>
      <c r="E65" s="338" t="s">
        <v>319</v>
      </c>
      <c r="F65" s="446" t="s">
        <v>597</v>
      </c>
      <c r="G65" s="446" t="s">
        <v>320</v>
      </c>
      <c r="H65" s="412">
        <v>100000000</v>
      </c>
      <c r="I65" s="412">
        <f>H65</f>
        <v>100000000</v>
      </c>
      <c r="J65" s="391">
        <v>43614</v>
      </c>
      <c r="K65" s="391">
        <f>J65+35</f>
        <v>43649</v>
      </c>
      <c r="L65" s="412">
        <v>100000000</v>
      </c>
      <c r="M65" s="391">
        <f>J65+150</f>
        <v>43764</v>
      </c>
      <c r="N65" s="412">
        <v>0</v>
      </c>
      <c r="O65" s="412">
        <f>L65-N65</f>
        <v>100000000</v>
      </c>
      <c r="P65" s="391">
        <v>43749</v>
      </c>
      <c r="Q65" s="338" t="s">
        <v>147</v>
      </c>
      <c r="R65" s="223"/>
    </row>
    <row r="66" spans="1:19" s="13" customFormat="1">
      <c r="A66" s="13" t="s">
        <v>147</v>
      </c>
      <c r="B66" s="13" t="s">
        <v>147</v>
      </c>
      <c r="C66" s="13" t="s">
        <v>622</v>
      </c>
      <c r="D66" s="13" t="s">
        <v>203</v>
      </c>
      <c r="E66" s="13" t="s">
        <v>321</v>
      </c>
      <c r="F66" s="36" t="s">
        <v>322</v>
      </c>
      <c r="G66" s="36" t="s">
        <v>323</v>
      </c>
      <c r="H66" s="318">
        <v>0</v>
      </c>
      <c r="I66" s="318"/>
      <c r="J66" s="11"/>
      <c r="K66" s="11"/>
      <c r="L66" s="355"/>
      <c r="M66" s="11"/>
      <c r="N66" s="355"/>
      <c r="O66" s="355"/>
      <c r="P66" s="11"/>
      <c r="Q66" s="13" t="s">
        <v>508</v>
      </c>
      <c r="R66" s="43"/>
    </row>
    <row r="67" spans="1:19" s="13" customFormat="1">
      <c r="A67" s="13" t="s">
        <v>147</v>
      </c>
      <c r="B67" s="13" t="s">
        <v>147</v>
      </c>
      <c r="C67" s="13">
        <v>5035</v>
      </c>
      <c r="D67" s="13" t="s">
        <v>203</v>
      </c>
      <c r="E67" s="13" t="s">
        <v>519</v>
      </c>
      <c r="F67" s="36" t="s">
        <v>639</v>
      </c>
      <c r="G67" s="36" t="s">
        <v>323</v>
      </c>
      <c r="H67" s="318">
        <v>26500000</v>
      </c>
      <c r="I67" s="318">
        <f>H67</f>
        <v>26500000</v>
      </c>
      <c r="J67" s="11">
        <v>43614</v>
      </c>
      <c r="K67" s="11">
        <f>J67+35</f>
        <v>43649</v>
      </c>
      <c r="L67" s="318">
        <v>26500000</v>
      </c>
      <c r="M67" s="11">
        <f>J67+180</f>
        <v>43794</v>
      </c>
      <c r="N67" s="318">
        <v>0</v>
      </c>
      <c r="O67" s="318">
        <f>L67-N67</f>
        <v>26500000</v>
      </c>
      <c r="P67" s="11">
        <v>43788</v>
      </c>
      <c r="Q67" s="13" t="s">
        <v>508</v>
      </c>
      <c r="R67" s="43"/>
    </row>
    <row r="68" spans="1:19" s="13" customFormat="1">
      <c r="A68" s="13" t="s">
        <v>147</v>
      </c>
      <c r="B68" s="13" t="s">
        <v>147</v>
      </c>
      <c r="C68" s="13">
        <v>5036</v>
      </c>
      <c r="D68" s="13" t="s">
        <v>203</v>
      </c>
      <c r="E68" s="13" t="s">
        <v>296</v>
      </c>
      <c r="F68" s="36" t="s">
        <v>572</v>
      </c>
      <c r="G68" s="36" t="s">
        <v>81</v>
      </c>
      <c r="H68" s="318">
        <v>45000000</v>
      </c>
      <c r="I68" s="318">
        <f>H68</f>
        <v>45000000</v>
      </c>
      <c r="J68" s="11">
        <v>43614</v>
      </c>
      <c r="K68" s="11">
        <f>J68+35</f>
        <v>43649</v>
      </c>
      <c r="L68" s="318">
        <v>0</v>
      </c>
      <c r="M68" s="11">
        <f>J68+180</f>
        <v>43794</v>
      </c>
      <c r="N68" s="318">
        <v>0</v>
      </c>
      <c r="O68" s="318">
        <f>I68-L68</f>
        <v>45000000</v>
      </c>
      <c r="P68" s="11">
        <v>43617</v>
      </c>
      <c r="Q68" s="13" t="s">
        <v>508</v>
      </c>
      <c r="R68" s="43"/>
    </row>
    <row r="69" spans="1:19" s="13" customFormat="1">
      <c r="A69" s="13" t="s">
        <v>147</v>
      </c>
      <c r="B69" s="13" t="s">
        <v>147</v>
      </c>
      <c r="C69" s="13" t="s">
        <v>647</v>
      </c>
      <c r="D69" s="13" t="s">
        <v>203</v>
      </c>
      <c r="E69" s="13" t="s">
        <v>564</v>
      </c>
      <c r="F69" s="36" t="s">
        <v>648</v>
      </c>
      <c r="G69" s="36" t="s">
        <v>80</v>
      </c>
      <c r="H69" s="318">
        <v>0</v>
      </c>
      <c r="I69" s="318"/>
      <c r="J69" s="11"/>
      <c r="K69" s="11"/>
      <c r="L69" s="355"/>
      <c r="M69" s="11"/>
      <c r="N69" s="355"/>
      <c r="O69" s="355"/>
      <c r="P69" s="11">
        <v>43624</v>
      </c>
      <c r="Q69" s="13" t="s">
        <v>253</v>
      </c>
      <c r="R69" s="43" t="s">
        <v>743</v>
      </c>
    </row>
    <row r="70" spans="1:19" s="13" customFormat="1">
      <c r="A70" s="13" t="s">
        <v>147</v>
      </c>
      <c r="B70" s="13" t="s">
        <v>147</v>
      </c>
      <c r="C70" s="13">
        <v>4982</v>
      </c>
      <c r="D70" s="13" t="s">
        <v>204</v>
      </c>
      <c r="E70" s="13" t="s">
        <v>172</v>
      </c>
      <c r="F70" s="36" t="s">
        <v>311</v>
      </c>
      <c r="G70" s="36" t="s">
        <v>312</v>
      </c>
      <c r="H70" s="318">
        <v>35000000</v>
      </c>
      <c r="I70" s="318">
        <v>35000000</v>
      </c>
      <c r="J70" s="11">
        <v>43489</v>
      </c>
      <c r="K70" s="11">
        <f>J70+35</f>
        <v>43524</v>
      </c>
      <c r="L70" s="318">
        <v>35000000</v>
      </c>
      <c r="M70" s="11">
        <f>J70+180</f>
        <v>43669</v>
      </c>
      <c r="N70" s="318">
        <v>0</v>
      </c>
      <c r="O70" s="318">
        <f>L70-N70</f>
        <v>35000000</v>
      </c>
      <c r="P70" s="11">
        <v>43501</v>
      </c>
      <c r="Q70" s="13" t="s">
        <v>508</v>
      </c>
      <c r="R70" s="43"/>
      <c r="S70" s="338" t="s">
        <v>658</v>
      </c>
    </row>
    <row r="71" spans="1:19" s="13" customFormat="1">
      <c r="A71" s="13" t="s">
        <v>147</v>
      </c>
      <c r="B71" s="13" t="s">
        <v>147</v>
      </c>
      <c r="C71" s="13">
        <v>5038</v>
      </c>
      <c r="D71" s="13" t="s">
        <v>203</v>
      </c>
      <c r="E71" s="13" t="s">
        <v>324</v>
      </c>
      <c r="F71" s="36" t="s">
        <v>664</v>
      </c>
      <c r="G71" s="36" t="s">
        <v>80</v>
      </c>
      <c r="H71" s="318">
        <v>55200000</v>
      </c>
      <c r="I71" s="318">
        <v>55200000</v>
      </c>
      <c r="J71" s="11">
        <v>43627</v>
      </c>
      <c r="K71" s="11">
        <f>J71+35</f>
        <v>43662</v>
      </c>
      <c r="L71" s="318">
        <v>55200000</v>
      </c>
      <c r="M71" s="11">
        <f>J71+180</f>
        <v>43807</v>
      </c>
      <c r="N71" s="318">
        <v>0</v>
      </c>
      <c r="O71" s="318">
        <f>L71-N71</f>
        <v>55200000</v>
      </c>
      <c r="P71" s="11">
        <v>43798</v>
      </c>
      <c r="Q71" s="13" t="s">
        <v>508</v>
      </c>
      <c r="R71" s="43"/>
    </row>
    <row r="72" spans="1:19" s="13" customFormat="1">
      <c r="A72" s="13" t="s">
        <v>147</v>
      </c>
      <c r="B72" s="13" t="s">
        <v>147</v>
      </c>
      <c r="C72" s="13">
        <v>5001</v>
      </c>
      <c r="D72" s="13" t="s">
        <v>204</v>
      </c>
      <c r="E72" s="13" t="s">
        <v>545</v>
      </c>
      <c r="F72" s="36" t="s">
        <v>672</v>
      </c>
      <c r="G72" s="36" t="s">
        <v>79</v>
      </c>
      <c r="H72" s="318">
        <v>6000000</v>
      </c>
      <c r="I72" s="318">
        <v>6000000</v>
      </c>
      <c r="J72" s="11">
        <v>43497</v>
      </c>
      <c r="K72" s="11">
        <f>J72+35</f>
        <v>43532</v>
      </c>
      <c r="L72" s="318">
        <v>6000000</v>
      </c>
      <c r="M72" s="11">
        <f>J72+180</f>
        <v>43677</v>
      </c>
      <c r="N72" s="318">
        <v>0</v>
      </c>
      <c r="O72" s="318">
        <f>L72-N72</f>
        <v>6000000</v>
      </c>
      <c r="P72" s="11">
        <v>43614</v>
      </c>
      <c r="Q72" s="13" t="s">
        <v>508</v>
      </c>
      <c r="R72" s="43"/>
      <c r="S72" s="338" t="s">
        <v>657</v>
      </c>
    </row>
    <row r="73" spans="1:19" s="5" customFormat="1">
      <c r="A73" s="13" t="s">
        <v>147</v>
      </c>
      <c r="B73" s="13" t="s">
        <v>147</v>
      </c>
      <c r="C73" s="13">
        <v>5002</v>
      </c>
      <c r="D73" s="13" t="s">
        <v>204</v>
      </c>
      <c r="E73" s="13" t="s">
        <v>545</v>
      </c>
      <c r="F73" s="36" t="s">
        <v>673</v>
      </c>
      <c r="G73" s="36" t="s">
        <v>79</v>
      </c>
      <c r="H73" s="318">
        <v>5000000</v>
      </c>
      <c r="I73" s="318">
        <v>5000000</v>
      </c>
      <c r="J73" s="11">
        <v>43497</v>
      </c>
      <c r="K73" s="11">
        <f>J73+35</f>
        <v>43532</v>
      </c>
      <c r="L73" s="318">
        <v>5000000</v>
      </c>
      <c r="M73" s="11">
        <f>J73+180</f>
        <v>43677</v>
      </c>
      <c r="N73" s="318">
        <v>0</v>
      </c>
      <c r="O73" s="318">
        <v>5000000</v>
      </c>
      <c r="P73" s="11">
        <v>43589</v>
      </c>
      <c r="Q73" s="13" t="s">
        <v>508</v>
      </c>
      <c r="R73" s="48"/>
      <c r="S73" s="338" t="s">
        <v>657</v>
      </c>
    </row>
    <row r="74" spans="1:19" s="13" customFormat="1">
      <c r="A74" s="13" t="s">
        <v>147</v>
      </c>
      <c r="B74" s="13" t="s">
        <v>147</v>
      </c>
      <c r="C74" s="13" t="s">
        <v>678</v>
      </c>
      <c r="D74" s="13" t="s">
        <v>203</v>
      </c>
      <c r="E74" s="13" t="s">
        <v>324</v>
      </c>
      <c r="F74" s="36" t="s">
        <v>566</v>
      </c>
      <c r="G74" s="36" t="s">
        <v>312</v>
      </c>
      <c r="H74" s="318">
        <v>0</v>
      </c>
      <c r="I74" s="318"/>
      <c r="J74" s="11"/>
      <c r="K74" s="11"/>
      <c r="L74" s="355"/>
      <c r="M74" s="11"/>
      <c r="N74" s="355"/>
      <c r="O74" s="355"/>
      <c r="P74" s="11"/>
      <c r="Q74" s="13" t="s">
        <v>508</v>
      </c>
      <c r="R74" s="43"/>
    </row>
    <row r="75" spans="1:19" s="13" customFormat="1">
      <c r="A75" s="13" t="s">
        <v>147</v>
      </c>
      <c r="B75" s="13" t="s">
        <v>147</v>
      </c>
      <c r="C75" s="13">
        <v>5004</v>
      </c>
      <c r="D75" s="13" t="s">
        <v>204</v>
      </c>
      <c r="E75" s="13" t="s">
        <v>144</v>
      </c>
      <c r="F75" s="36" t="s">
        <v>372</v>
      </c>
      <c r="G75" s="36" t="s">
        <v>82</v>
      </c>
      <c r="H75" s="404">
        <v>49544835.789999999</v>
      </c>
      <c r="I75" s="404">
        <f>H75</f>
        <v>49544835.789999999</v>
      </c>
      <c r="J75" s="11">
        <v>43508</v>
      </c>
      <c r="K75" s="11">
        <f>J75+35</f>
        <v>43543</v>
      </c>
      <c r="L75" s="404">
        <v>49544835.789999999</v>
      </c>
      <c r="M75" s="11">
        <f>J75+180</f>
        <v>43688</v>
      </c>
      <c r="N75" s="318">
        <v>0</v>
      </c>
      <c r="O75" s="318">
        <f>L75-N75</f>
        <v>49544835.789999999</v>
      </c>
      <c r="P75" s="11">
        <v>43686</v>
      </c>
      <c r="Q75" s="13" t="s">
        <v>345</v>
      </c>
      <c r="R75" s="43"/>
      <c r="S75" s="338" t="s">
        <v>681</v>
      </c>
    </row>
    <row r="76" spans="1:19" s="13" customFormat="1">
      <c r="A76" s="13" t="s">
        <v>147</v>
      </c>
      <c r="B76" s="13" t="s">
        <v>147</v>
      </c>
      <c r="C76" s="13">
        <v>5039</v>
      </c>
      <c r="D76" s="13" t="s">
        <v>203</v>
      </c>
      <c r="E76" s="13" t="s">
        <v>296</v>
      </c>
      <c r="F76" s="36" t="s">
        <v>574</v>
      </c>
      <c r="G76" s="36" t="s">
        <v>81</v>
      </c>
      <c r="H76" s="318">
        <v>30000000</v>
      </c>
      <c r="I76" s="318">
        <v>30000000</v>
      </c>
      <c r="J76" s="11">
        <v>43635</v>
      </c>
      <c r="K76" s="11">
        <f>J76+35</f>
        <v>43670</v>
      </c>
      <c r="L76" s="318">
        <v>30000000</v>
      </c>
      <c r="M76" s="11">
        <f>J76+180</f>
        <v>43815</v>
      </c>
      <c r="N76" s="318">
        <v>0</v>
      </c>
      <c r="O76" s="318">
        <f>L76-N76</f>
        <v>30000000</v>
      </c>
      <c r="P76" s="11">
        <v>43761</v>
      </c>
      <c r="Q76" s="13" t="s">
        <v>345</v>
      </c>
      <c r="R76" s="516" t="s">
        <v>745</v>
      </c>
    </row>
    <row r="77" spans="1:19" s="13" customFormat="1">
      <c r="A77" s="13" t="s">
        <v>147</v>
      </c>
      <c r="B77" s="13" t="s">
        <v>147</v>
      </c>
      <c r="C77" s="13">
        <v>5012</v>
      </c>
      <c r="D77" s="13" t="s">
        <v>204</v>
      </c>
      <c r="E77" s="13" t="s">
        <v>545</v>
      </c>
      <c r="F77" s="36" t="s">
        <v>689</v>
      </c>
      <c r="G77" s="36" t="s">
        <v>79</v>
      </c>
      <c r="H77" s="318">
        <v>3000000</v>
      </c>
      <c r="I77" s="318">
        <v>3000000</v>
      </c>
      <c r="J77" s="11">
        <v>43522</v>
      </c>
      <c r="K77" s="11">
        <f>J77+35</f>
        <v>43557</v>
      </c>
      <c r="L77" s="318">
        <v>3000000</v>
      </c>
      <c r="M77" s="11">
        <f>J77+180</f>
        <v>43702</v>
      </c>
      <c r="N77" s="318">
        <v>0</v>
      </c>
      <c r="O77" s="318">
        <f>L77-N77</f>
        <v>3000000</v>
      </c>
      <c r="P77" s="11">
        <v>43651</v>
      </c>
      <c r="Q77" s="13" t="s">
        <v>508</v>
      </c>
      <c r="R77" s="43"/>
      <c r="S77" s="338" t="s">
        <v>657</v>
      </c>
    </row>
    <row r="78" spans="1:19" s="13" customFormat="1">
      <c r="A78" s="13" t="s">
        <v>147</v>
      </c>
      <c r="B78" s="13" t="s">
        <v>147</v>
      </c>
      <c r="C78" s="13" t="s">
        <v>690</v>
      </c>
      <c r="D78" s="13" t="s">
        <v>203</v>
      </c>
      <c r="E78" s="13" t="s">
        <v>324</v>
      </c>
      <c r="F78" s="36" t="s">
        <v>581</v>
      </c>
      <c r="G78" s="36" t="s">
        <v>80</v>
      </c>
      <c r="H78" s="318">
        <v>0</v>
      </c>
      <c r="I78" s="318"/>
      <c r="J78" s="3"/>
      <c r="K78" s="3"/>
      <c r="L78" s="355"/>
      <c r="M78" s="11"/>
      <c r="N78" s="1"/>
      <c r="O78" s="355"/>
      <c r="P78" s="11"/>
      <c r="Q78" s="13" t="s">
        <v>410</v>
      </c>
      <c r="R78" s="43"/>
    </row>
    <row r="79" spans="1:19" s="13" customFormat="1">
      <c r="A79" s="13" t="s">
        <v>147</v>
      </c>
      <c r="B79" s="13" t="s">
        <v>147</v>
      </c>
      <c r="C79" s="13">
        <v>5040</v>
      </c>
      <c r="D79" s="13" t="s">
        <v>717</v>
      </c>
      <c r="E79" s="13" t="s">
        <v>564</v>
      </c>
      <c r="F79" s="36" t="s">
        <v>565</v>
      </c>
      <c r="G79" s="36" t="s">
        <v>80</v>
      </c>
      <c r="H79" s="318">
        <v>50000000</v>
      </c>
      <c r="I79" s="318">
        <v>50000000</v>
      </c>
      <c r="J79" s="11">
        <v>43637</v>
      </c>
      <c r="K79" s="11">
        <f>J79+35</f>
        <v>43672</v>
      </c>
      <c r="L79" s="318">
        <v>0</v>
      </c>
      <c r="M79" s="11">
        <f>J79+180</f>
        <v>43817</v>
      </c>
      <c r="N79" s="318">
        <v>0</v>
      </c>
      <c r="O79" s="318">
        <f>I79-N79</f>
        <v>50000000</v>
      </c>
      <c r="P79" s="11">
        <v>43678</v>
      </c>
      <c r="Q79" s="13" t="s">
        <v>410</v>
      </c>
      <c r="R79" s="516" t="s">
        <v>749</v>
      </c>
    </row>
    <row r="80" spans="1:19" s="13" customFormat="1">
      <c r="A80" s="13" t="s">
        <v>147</v>
      </c>
      <c r="B80" s="13" t="s">
        <v>147</v>
      </c>
      <c r="C80" s="13">
        <v>5047</v>
      </c>
      <c r="D80" s="13" t="s">
        <v>203</v>
      </c>
      <c r="E80" s="13" t="s">
        <v>545</v>
      </c>
      <c r="F80" s="36" t="s">
        <v>713</v>
      </c>
      <c r="G80" s="36" t="s">
        <v>79</v>
      </c>
      <c r="H80" s="318">
        <v>50000000</v>
      </c>
      <c r="I80" s="318">
        <v>50000000</v>
      </c>
      <c r="J80" s="11">
        <v>43651</v>
      </c>
      <c r="K80" s="11">
        <f>J80+35</f>
        <v>43686</v>
      </c>
      <c r="L80" s="318">
        <v>50000000</v>
      </c>
      <c r="M80" s="11">
        <f>J80+180</f>
        <v>43831</v>
      </c>
      <c r="N80" s="318">
        <v>0</v>
      </c>
      <c r="O80" s="318">
        <f>I80-N80</f>
        <v>50000000</v>
      </c>
      <c r="P80" s="11">
        <v>43813</v>
      </c>
      <c r="Q80" s="13" t="s">
        <v>508</v>
      </c>
      <c r="R80" s="43"/>
      <c r="S80" s="338" t="s">
        <v>657</v>
      </c>
    </row>
    <row r="81" spans="1:19" s="13" customFormat="1">
      <c r="A81" s="13" t="s">
        <v>147</v>
      </c>
      <c r="B81" s="13" t="s">
        <v>147</v>
      </c>
      <c r="C81" s="13" t="s">
        <v>715</v>
      </c>
      <c r="D81" s="13" t="s">
        <v>203</v>
      </c>
      <c r="E81" s="13" t="s">
        <v>314</v>
      </c>
      <c r="F81" s="36" t="s">
        <v>716</v>
      </c>
      <c r="G81" s="36" t="s">
        <v>142</v>
      </c>
      <c r="H81" s="318">
        <v>0</v>
      </c>
      <c r="I81" s="318"/>
      <c r="J81" s="11"/>
      <c r="L81" s="355"/>
      <c r="M81" s="11"/>
      <c r="N81" s="1"/>
      <c r="O81" s="355"/>
      <c r="P81" s="11"/>
      <c r="Q81" s="13" t="s">
        <v>508</v>
      </c>
      <c r="R81" s="43"/>
    </row>
    <row r="82" spans="1:19" s="13" customFormat="1">
      <c r="A82" s="13" t="s">
        <v>147</v>
      </c>
      <c r="B82" s="13" t="s">
        <v>147</v>
      </c>
      <c r="C82" s="13">
        <v>5050</v>
      </c>
      <c r="D82" s="13" t="s">
        <v>203</v>
      </c>
      <c r="E82" s="13" t="s">
        <v>324</v>
      </c>
      <c r="F82" s="36" t="s">
        <v>580</v>
      </c>
      <c r="G82" s="36" t="s">
        <v>80</v>
      </c>
      <c r="H82" s="318">
        <v>30000000</v>
      </c>
      <c r="I82" s="318">
        <v>30000000</v>
      </c>
      <c r="J82" s="11">
        <v>43652</v>
      </c>
      <c r="K82" s="11">
        <f>J82+35</f>
        <v>43687</v>
      </c>
      <c r="L82" s="318">
        <v>30000000</v>
      </c>
      <c r="M82" s="11">
        <f>J82+180</f>
        <v>43832</v>
      </c>
      <c r="N82" s="318">
        <v>0</v>
      </c>
      <c r="O82" s="318">
        <f>L82-N82</f>
        <v>30000000</v>
      </c>
      <c r="P82" s="11">
        <v>43805</v>
      </c>
      <c r="Q82" s="13" t="s">
        <v>508</v>
      </c>
      <c r="R82" s="43"/>
    </row>
    <row r="83" spans="1:19" s="13" customFormat="1">
      <c r="A83" s="13" t="s">
        <v>147</v>
      </c>
      <c r="B83" s="13" t="s">
        <v>147</v>
      </c>
      <c r="C83" s="13">
        <v>5052</v>
      </c>
      <c r="D83" s="13" t="s">
        <v>203</v>
      </c>
      <c r="E83" s="13" t="s">
        <v>586</v>
      </c>
      <c r="F83" s="36" t="s">
        <v>587</v>
      </c>
      <c r="G83" s="36" t="s">
        <v>78</v>
      </c>
      <c r="H83" s="318">
        <v>35000000</v>
      </c>
      <c r="I83" s="318">
        <v>35000000</v>
      </c>
      <c r="J83" s="11">
        <v>43659</v>
      </c>
      <c r="K83" s="11">
        <f>J83+35</f>
        <v>43694</v>
      </c>
      <c r="L83" s="318">
        <v>35000000</v>
      </c>
      <c r="M83" s="11">
        <f>J83+180</f>
        <v>43839</v>
      </c>
      <c r="N83" s="318">
        <v>0</v>
      </c>
      <c r="O83" s="318">
        <f>L83-N83</f>
        <v>35000000</v>
      </c>
      <c r="P83" s="11">
        <v>43798</v>
      </c>
      <c r="Q83" s="13" t="s">
        <v>508</v>
      </c>
      <c r="R83" s="43"/>
    </row>
    <row r="84" spans="1:19" s="556" customFormat="1">
      <c r="A84" s="556" t="s">
        <v>147</v>
      </c>
      <c r="B84" s="556" t="s">
        <v>147</v>
      </c>
      <c r="C84" s="556">
        <v>5056</v>
      </c>
      <c r="D84" s="556" t="s">
        <v>203</v>
      </c>
      <c r="E84" s="556" t="s">
        <v>309</v>
      </c>
      <c r="F84" s="557" t="s">
        <v>532</v>
      </c>
      <c r="G84" s="557" t="s">
        <v>80</v>
      </c>
      <c r="H84" s="558">
        <v>122520653</v>
      </c>
      <c r="I84" s="558">
        <f>H84</f>
        <v>122520653</v>
      </c>
      <c r="J84" s="559">
        <v>43678</v>
      </c>
      <c r="K84" s="559">
        <f>J84+35</f>
        <v>43713</v>
      </c>
      <c r="L84" s="562">
        <v>0</v>
      </c>
      <c r="M84" s="559">
        <f>J84+150</f>
        <v>43828</v>
      </c>
      <c r="N84" s="562">
        <v>0</v>
      </c>
      <c r="O84" s="560">
        <f>I84-N84</f>
        <v>122520653</v>
      </c>
      <c r="P84" s="559">
        <v>43712</v>
      </c>
      <c r="Q84" s="556" t="s">
        <v>147</v>
      </c>
      <c r="R84" s="561"/>
    </row>
    <row r="85" spans="1:19" s="545" customFormat="1">
      <c r="A85" s="534" t="s">
        <v>147</v>
      </c>
      <c r="B85" s="534" t="s">
        <v>147</v>
      </c>
      <c r="C85" s="534" t="s">
        <v>722</v>
      </c>
      <c r="D85" s="534" t="s">
        <v>43</v>
      </c>
      <c r="E85" s="534" t="s">
        <v>321</v>
      </c>
      <c r="F85" s="535" t="s">
        <v>322</v>
      </c>
      <c r="G85" s="535" t="s">
        <v>323</v>
      </c>
      <c r="H85" s="536">
        <v>0</v>
      </c>
      <c r="I85" s="547"/>
      <c r="J85" s="548"/>
      <c r="K85" s="549"/>
      <c r="L85" s="550"/>
      <c r="M85" s="551"/>
      <c r="N85" s="549"/>
      <c r="O85" s="550"/>
      <c r="P85" s="551"/>
      <c r="Q85" s="534" t="s">
        <v>508</v>
      </c>
      <c r="R85" s="552"/>
    </row>
    <row r="86" spans="1:19" s="545" customFormat="1">
      <c r="A86" s="534" t="s">
        <v>147</v>
      </c>
      <c r="B86" s="534" t="s">
        <v>147</v>
      </c>
      <c r="C86" s="534" t="s">
        <v>724</v>
      </c>
      <c r="D86" s="534" t="s">
        <v>43</v>
      </c>
      <c r="E86" s="534" t="s">
        <v>725</v>
      </c>
      <c r="F86" s="535" t="s">
        <v>726</v>
      </c>
      <c r="G86" s="535" t="s">
        <v>294</v>
      </c>
      <c r="H86" s="536">
        <v>0</v>
      </c>
      <c r="I86" s="547"/>
      <c r="J86" s="548"/>
      <c r="K86" s="549"/>
      <c r="L86" s="550"/>
      <c r="M86" s="551"/>
      <c r="N86" s="549"/>
      <c r="O86" s="550"/>
      <c r="P86" s="551"/>
      <c r="Q86" s="534" t="s">
        <v>508</v>
      </c>
      <c r="R86" s="552"/>
    </row>
    <row r="87" spans="1:19" s="13" customFormat="1">
      <c r="A87" s="13" t="s">
        <v>147</v>
      </c>
      <c r="B87" s="13" t="s">
        <v>147</v>
      </c>
      <c r="C87" s="13">
        <v>5029</v>
      </c>
      <c r="D87" s="13" t="s">
        <v>204</v>
      </c>
      <c r="E87" s="13" t="s">
        <v>156</v>
      </c>
      <c r="F87" s="36" t="s">
        <v>303</v>
      </c>
      <c r="G87" s="36" t="s">
        <v>81</v>
      </c>
      <c r="H87" s="318">
        <v>35000000</v>
      </c>
      <c r="I87" s="318">
        <v>35000000</v>
      </c>
      <c r="J87" s="11">
        <v>43599</v>
      </c>
      <c r="K87" s="11">
        <f>J87+35</f>
        <v>43634</v>
      </c>
      <c r="L87" s="318">
        <v>35000000</v>
      </c>
      <c r="M87" s="11">
        <f>J87+180</f>
        <v>43779</v>
      </c>
      <c r="N87" s="318">
        <f>L87-O87</f>
        <v>27420000</v>
      </c>
      <c r="O87" s="318">
        <v>7580000</v>
      </c>
      <c r="P87" s="11">
        <v>43802</v>
      </c>
      <c r="Q87" s="13" t="s">
        <v>508</v>
      </c>
      <c r="R87" s="43"/>
      <c r="S87" s="338" t="s">
        <v>645</v>
      </c>
    </row>
    <row r="88" spans="1:19" s="545" customFormat="1">
      <c r="A88" s="534" t="s">
        <v>147</v>
      </c>
      <c r="B88" s="534" t="s">
        <v>147</v>
      </c>
      <c r="C88" s="534" t="s">
        <v>729</v>
      </c>
      <c r="D88" s="534" t="s">
        <v>43</v>
      </c>
      <c r="E88" s="534" t="s">
        <v>165</v>
      </c>
      <c r="F88" s="534" t="s">
        <v>730</v>
      </c>
      <c r="G88" s="535" t="s">
        <v>529</v>
      </c>
      <c r="H88" s="536">
        <v>0</v>
      </c>
      <c r="I88" s="547"/>
      <c r="J88" s="548"/>
      <c r="K88" s="549"/>
      <c r="L88" s="550"/>
      <c r="M88" s="551"/>
      <c r="N88" s="549"/>
      <c r="O88" s="550"/>
      <c r="P88" s="551"/>
      <c r="Q88" s="534" t="s">
        <v>508</v>
      </c>
      <c r="R88" s="552"/>
      <c r="S88" s="553"/>
    </row>
    <row r="89" spans="1:19" s="545" customFormat="1">
      <c r="A89" s="534" t="s">
        <v>147</v>
      </c>
      <c r="B89" s="534" t="s">
        <v>147</v>
      </c>
      <c r="C89" s="534" t="s">
        <v>731</v>
      </c>
      <c r="D89" s="534" t="s">
        <v>43</v>
      </c>
      <c r="E89" s="534" t="s">
        <v>545</v>
      </c>
      <c r="F89" s="534" t="s">
        <v>732</v>
      </c>
      <c r="G89" s="535" t="s">
        <v>79</v>
      </c>
      <c r="H89" s="536">
        <v>0</v>
      </c>
      <c r="I89" s="547"/>
      <c r="J89" s="548"/>
      <c r="K89" s="549"/>
      <c r="L89" s="550"/>
      <c r="M89" s="551"/>
      <c r="N89" s="549"/>
      <c r="O89" s="550"/>
      <c r="P89" s="551"/>
      <c r="Q89" s="534" t="s">
        <v>508</v>
      </c>
      <c r="R89" s="552"/>
      <c r="S89" s="553"/>
    </row>
    <row r="90" spans="1:19" s="338" customFormat="1">
      <c r="A90" s="13" t="s">
        <v>147</v>
      </c>
      <c r="B90" s="13" t="s">
        <v>147</v>
      </c>
      <c r="C90" s="13">
        <v>5031</v>
      </c>
      <c r="D90" s="13" t="s">
        <v>203</v>
      </c>
      <c r="E90" s="13" t="s">
        <v>348</v>
      </c>
      <c r="F90" s="13" t="s">
        <v>349</v>
      </c>
      <c r="G90" s="36" t="s">
        <v>176</v>
      </c>
      <c r="H90" s="318">
        <v>14000000</v>
      </c>
      <c r="I90" s="318">
        <v>14000000</v>
      </c>
      <c r="J90" s="11">
        <v>43600</v>
      </c>
      <c r="K90" s="11">
        <f>J90+35</f>
        <v>43635</v>
      </c>
      <c r="L90" s="318">
        <v>14000000</v>
      </c>
      <c r="M90" s="11">
        <f>J90+180</f>
        <v>43780</v>
      </c>
      <c r="N90" s="318">
        <v>0</v>
      </c>
      <c r="O90" s="318">
        <f>L90-N90</f>
        <v>14000000</v>
      </c>
      <c r="P90" s="11">
        <v>43743</v>
      </c>
      <c r="Q90" s="13" t="s">
        <v>508</v>
      </c>
      <c r="R90" s="223"/>
      <c r="S90" s="338" t="s">
        <v>734</v>
      </c>
    </row>
    <row r="91" spans="1:19" s="545" customFormat="1">
      <c r="A91" s="534" t="s">
        <v>147</v>
      </c>
      <c r="B91" s="534" t="s">
        <v>147</v>
      </c>
      <c r="C91" s="534" t="s">
        <v>735</v>
      </c>
      <c r="D91" s="534" t="s">
        <v>43</v>
      </c>
      <c r="E91" s="534" t="s">
        <v>296</v>
      </c>
      <c r="F91" s="534" t="s">
        <v>525</v>
      </c>
      <c r="G91" s="535" t="s">
        <v>81</v>
      </c>
      <c r="H91" s="536">
        <v>0</v>
      </c>
      <c r="I91" s="536"/>
      <c r="J91" s="537"/>
      <c r="K91" s="537"/>
      <c r="L91" s="536"/>
      <c r="M91" s="537"/>
      <c r="N91" s="549"/>
      <c r="O91" s="550"/>
      <c r="P91" s="551"/>
      <c r="Q91" s="534" t="s">
        <v>508</v>
      </c>
      <c r="R91" s="552"/>
    </row>
    <row r="92" spans="1:19" s="545" customFormat="1">
      <c r="A92" s="534" t="s">
        <v>147</v>
      </c>
      <c r="B92" s="534" t="s">
        <v>147</v>
      </c>
      <c r="C92" s="534" t="s">
        <v>738</v>
      </c>
      <c r="D92" s="534" t="s">
        <v>43</v>
      </c>
      <c r="E92" s="534" t="s">
        <v>296</v>
      </c>
      <c r="F92" s="534" t="s">
        <v>740</v>
      </c>
      <c r="G92" s="535" t="s">
        <v>81</v>
      </c>
      <c r="H92" s="536">
        <v>0</v>
      </c>
      <c r="I92" s="536"/>
      <c r="J92" s="537"/>
      <c r="K92" s="537"/>
      <c r="L92" s="536"/>
      <c r="M92" s="537"/>
      <c r="N92" s="549"/>
      <c r="O92" s="550"/>
      <c r="P92" s="551"/>
      <c r="Q92" s="534" t="s">
        <v>508</v>
      </c>
      <c r="R92" s="552"/>
    </row>
    <row r="93" spans="1:19" s="545" customFormat="1">
      <c r="A93" s="534" t="s">
        <v>147</v>
      </c>
      <c r="B93" s="534" t="s">
        <v>147</v>
      </c>
      <c r="C93" s="534" t="s">
        <v>739</v>
      </c>
      <c r="D93" s="534" t="s">
        <v>43</v>
      </c>
      <c r="E93" s="534" t="s">
        <v>296</v>
      </c>
      <c r="F93" s="534" t="s">
        <v>741</v>
      </c>
      <c r="G93" s="535" t="s">
        <v>81</v>
      </c>
      <c r="H93" s="536">
        <v>0</v>
      </c>
      <c r="I93" s="536"/>
      <c r="J93" s="537"/>
      <c r="K93" s="537"/>
      <c r="L93" s="536"/>
      <c r="M93" s="537"/>
      <c r="N93" s="549"/>
      <c r="O93" s="550"/>
      <c r="P93" s="551"/>
      <c r="Q93" s="534" t="s">
        <v>508</v>
      </c>
      <c r="R93" s="552"/>
    </row>
    <row r="94" spans="1:19" s="545" customFormat="1">
      <c r="A94" s="545" t="s">
        <v>147</v>
      </c>
      <c r="B94" s="545" t="s">
        <v>147</v>
      </c>
      <c r="C94" s="545" t="s">
        <v>742</v>
      </c>
      <c r="D94" s="545" t="s">
        <v>43</v>
      </c>
      <c r="E94" s="545" t="s">
        <v>305</v>
      </c>
      <c r="F94" s="545" t="s">
        <v>306</v>
      </c>
      <c r="G94" s="554" t="s">
        <v>307</v>
      </c>
      <c r="H94" s="547">
        <v>0</v>
      </c>
      <c r="I94" s="547"/>
      <c r="J94" s="551"/>
      <c r="K94" s="551"/>
      <c r="L94" s="547"/>
      <c r="M94" s="551"/>
      <c r="N94" s="549"/>
      <c r="O94" s="550"/>
      <c r="P94" s="551"/>
      <c r="Q94" s="545" t="s">
        <v>147</v>
      </c>
      <c r="R94" s="552"/>
    </row>
    <row r="95" spans="1:19" s="534" customFormat="1">
      <c r="A95" s="534" t="s">
        <v>147</v>
      </c>
      <c r="B95" s="534" t="s">
        <v>147</v>
      </c>
      <c r="C95" s="534" t="s">
        <v>750</v>
      </c>
      <c r="D95" s="534" t="s">
        <v>43</v>
      </c>
      <c r="E95" s="534" t="s">
        <v>564</v>
      </c>
      <c r="F95" s="534" t="s">
        <v>648</v>
      </c>
      <c r="G95" s="535" t="s">
        <v>80</v>
      </c>
      <c r="H95" s="536">
        <v>0</v>
      </c>
      <c r="I95" s="536"/>
      <c r="J95" s="537"/>
      <c r="K95" s="537"/>
      <c r="L95" s="536"/>
      <c r="M95" s="537"/>
      <c r="N95" s="540"/>
      <c r="O95" s="539"/>
      <c r="P95" s="537"/>
      <c r="Q95" s="534" t="s">
        <v>508</v>
      </c>
      <c r="R95" s="541"/>
    </row>
    <row r="96" spans="1:19" s="534" customFormat="1">
      <c r="A96" s="534" t="s">
        <v>147</v>
      </c>
      <c r="B96" s="534" t="s">
        <v>147</v>
      </c>
      <c r="C96" s="534" t="s">
        <v>760</v>
      </c>
      <c r="D96" s="534" t="s">
        <v>43</v>
      </c>
      <c r="E96" s="534" t="s">
        <v>304</v>
      </c>
      <c r="F96" s="534" t="s">
        <v>761</v>
      </c>
      <c r="G96" s="535" t="s">
        <v>189</v>
      </c>
      <c r="H96" s="536">
        <v>0</v>
      </c>
      <c r="I96" s="536"/>
      <c r="J96" s="537"/>
      <c r="K96" s="537"/>
      <c r="L96" s="536"/>
      <c r="M96" s="537"/>
      <c r="N96" s="540"/>
      <c r="O96" s="539"/>
      <c r="P96" s="537"/>
      <c r="Q96" s="534" t="s">
        <v>508</v>
      </c>
      <c r="R96" s="541"/>
    </row>
    <row r="97" spans="1:18" s="534" customFormat="1">
      <c r="A97" s="534" t="s">
        <v>147</v>
      </c>
      <c r="B97" s="534" t="s">
        <v>147</v>
      </c>
      <c r="C97" s="534" t="s">
        <v>763</v>
      </c>
      <c r="D97" s="534" t="s">
        <v>43</v>
      </c>
      <c r="E97" s="534" t="s">
        <v>324</v>
      </c>
      <c r="F97" s="534" t="s">
        <v>764</v>
      </c>
      <c r="G97" s="535" t="s">
        <v>80</v>
      </c>
      <c r="H97" s="536">
        <v>0</v>
      </c>
      <c r="I97" s="536"/>
      <c r="J97" s="537"/>
      <c r="K97" s="537"/>
      <c r="L97" s="536"/>
      <c r="M97" s="537"/>
      <c r="N97" s="540"/>
      <c r="O97" s="539"/>
      <c r="P97" s="537"/>
      <c r="Q97" s="534" t="s">
        <v>508</v>
      </c>
      <c r="R97" s="541"/>
    </row>
    <row r="98" spans="1:18" s="534" customFormat="1">
      <c r="A98" s="534" t="s">
        <v>147</v>
      </c>
      <c r="B98" s="534" t="s">
        <v>147</v>
      </c>
      <c r="C98" s="534" t="s">
        <v>765</v>
      </c>
      <c r="D98" s="534" t="s">
        <v>43</v>
      </c>
      <c r="E98" s="534" t="s">
        <v>324</v>
      </c>
      <c r="F98" s="534" t="s">
        <v>575</v>
      </c>
      <c r="G98" s="535" t="s">
        <v>576</v>
      </c>
      <c r="H98" s="536">
        <v>0</v>
      </c>
      <c r="I98" s="536"/>
      <c r="J98" s="537"/>
      <c r="K98" s="537"/>
      <c r="L98" s="536"/>
      <c r="M98" s="537"/>
      <c r="N98" s="540"/>
      <c r="O98" s="539"/>
      <c r="P98" s="537"/>
      <c r="Q98" s="534" t="s">
        <v>508</v>
      </c>
      <c r="R98" s="541"/>
    </row>
    <row r="99" spans="1:18" s="534" customFormat="1">
      <c r="A99" s="534" t="s">
        <v>147</v>
      </c>
      <c r="B99" s="534" t="s">
        <v>147</v>
      </c>
      <c r="C99" s="534" t="s">
        <v>766</v>
      </c>
      <c r="D99" s="534" t="s">
        <v>43</v>
      </c>
      <c r="E99" s="534" t="s">
        <v>524</v>
      </c>
      <c r="F99" s="534" t="s">
        <v>525</v>
      </c>
      <c r="G99" s="535" t="s">
        <v>526</v>
      </c>
      <c r="H99" s="536">
        <v>0</v>
      </c>
      <c r="I99" s="536"/>
      <c r="J99" s="537"/>
      <c r="K99" s="537"/>
      <c r="L99" s="536"/>
      <c r="M99" s="537"/>
      <c r="N99" s="540"/>
      <c r="O99" s="539"/>
      <c r="P99" s="537"/>
      <c r="Q99" s="534" t="s">
        <v>508</v>
      </c>
      <c r="R99" s="541"/>
    </row>
    <row r="100" spans="1:18" s="13" customFormat="1">
      <c r="A100" s="43"/>
      <c r="B100" s="43"/>
      <c r="C100" s="43"/>
      <c r="D100" s="43"/>
      <c r="E100" s="1"/>
      <c r="F100" s="13" t="s">
        <v>19</v>
      </c>
      <c r="H100" s="280">
        <f>SUM(H7:H99)</f>
        <v>2144486141.79</v>
      </c>
      <c r="I100" s="280">
        <f>SUM(I7:I99)</f>
        <v>2144486141.79</v>
      </c>
      <c r="J100" s="3"/>
      <c r="K100" s="1"/>
      <c r="L100" s="280">
        <f>SUM(L7:L99)</f>
        <v>1899465488.79</v>
      </c>
      <c r="M100" s="3"/>
      <c r="N100" s="280">
        <f>SUM(N7:N99)</f>
        <v>448631207.66999996</v>
      </c>
      <c r="O100" s="280">
        <f>SUM(O7:O99)</f>
        <v>1695854934.1199999</v>
      </c>
    </row>
    <row r="101" spans="1:18">
      <c r="A101" s="5"/>
      <c r="B101" s="5"/>
      <c r="C101" s="5"/>
      <c r="D101" s="91"/>
      <c r="F101" s="13"/>
      <c r="J101" s="3"/>
      <c r="K101" s="3"/>
      <c r="M101" s="3"/>
    </row>
    <row r="102" spans="1:18">
      <c r="A102" s="5"/>
      <c r="B102" s="5"/>
      <c r="C102" s="5"/>
      <c r="E102" s="5"/>
      <c r="F102" s="13" t="s">
        <v>43</v>
      </c>
      <c r="G102" s="5"/>
      <c r="H102" s="34">
        <f>H100-I100</f>
        <v>0</v>
      </c>
      <c r="I102" s="9"/>
      <c r="J102" s="3"/>
      <c r="K102" s="3"/>
      <c r="M102" s="78"/>
    </row>
    <row r="103" spans="1:18">
      <c r="A103" s="5"/>
      <c r="B103" s="5"/>
      <c r="C103" s="5"/>
      <c r="E103" s="5"/>
      <c r="G103" s="5"/>
      <c r="H103" s="69"/>
      <c r="I103" s="9"/>
      <c r="J103" s="3"/>
      <c r="K103" s="3"/>
      <c r="M103" s="78"/>
      <c r="O103" s="3"/>
    </row>
    <row r="104" spans="1:18">
      <c r="A104" s="5"/>
      <c r="B104" s="5"/>
      <c r="C104" s="5"/>
      <c r="E104" s="137"/>
      <c r="F104" s="59" t="s">
        <v>75</v>
      </c>
      <c r="G104" s="5"/>
      <c r="H104" s="400">
        <f>E1-I100+O100+G110</f>
        <v>614415641.32999992</v>
      </c>
      <c r="I104" s="203"/>
      <c r="J104" s="3"/>
      <c r="K104" s="3"/>
      <c r="M104" s="3"/>
      <c r="N104" s="9"/>
    </row>
    <row r="105" spans="1:18">
      <c r="A105" s="5"/>
      <c r="B105" s="5"/>
      <c r="C105" s="5"/>
      <c r="J105" s="409"/>
      <c r="K105" s="3"/>
      <c r="L105" s="3"/>
      <c r="M105" s="3"/>
      <c r="N105" s="9"/>
    </row>
    <row r="106" spans="1:18">
      <c r="A106" s="5"/>
      <c r="B106" s="5"/>
      <c r="C106" s="5"/>
      <c r="H106" s="9"/>
      <c r="I106" s="178"/>
      <c r="J106" s="3"/>
      <c r="K106" s="3"/>
      <c r="L106" s="3"/>
      <c r="M106" s="3"/>
      <c r="N106" s="9"/>
    </row>
    <row r="107" spans="1:18" s="13" customFormat="1">
      <c r="E107" s="43"/>
      <c r="F107" s="152"/>
      <c r="G107" s="152"/>
      <c r="H107" s="355"/>
      <c r="I107" s="355"/>
      <c r="J107" s="3"/>
      <c r="K107" s="11"/>
      <c r="L107" s="420"/>
      <c r="M107" s="11"/>
      <c r="P107" s="11"/>
      <c r="R107" s="43"/>
    </row>
    <row r="108" spans="1:18" s="13" customFormat="1">
      <c r="C108" s="43"/>
      <c r="D108" s="1"/>
      <c r="E108" s="152"/>
      <c r="F108" s="43"/>
      <c r="G108" s="9"/>
      <c r="H108" s="223"/>
      <c r="I108" s="355"/>
      <c r="J108" s="3"/>
      <c r="K108" s="531"/>
      <c r="L108" s="318"/>
      <c r="M108" s="10"/>
      <c r="N108" s="10"/>
      <c r="O108" s="10"/>
      <c r="P108" s="11"/>
      <c r="R108" s="43"/>
    </row>
    <row r="109" spans="1:18" s="13" customFormat="1">
      <c r="C109" s="43"/>
      <c r="D109" s="213"/>
      <c r="E109" s="43"/>
      <c r="F109" s="152"/>
      <c r="G109" s="509"/>
      <c r="H109" s="317"/>
      <c r="I109" s="355"/>
      <c r="J109" s="424"/>
      <c r="K109" s="11"/>
      <c r="L109" s="424"/>
      <c r="M109" s="50"/>
      <c r="N109" s="424"/>
      <c r="O109" s="318"/>
      <c r="P109" s="11"/>
      <c r="R109" s="43"/>
    </row>
    <row r="110" spans="1:18">
      <c r="E110" s="43"/>
      <c r="G110" s="336">
        <f>SUM(G108:G109)</f>
        <v>0</v>
      </c>
      <c r="H110" s="3"/>
      <c r="I110" s="3"/>
      <c r="M110" s="510"/>
      <c r="N110" s="3"/>
    </row>
    <row r="111" spans="1:18">
      <c r="E111" s="43"/>
      <c r="I111" s="85"/>
      <c r="M111" s="510"/>
      <c r="N111" s="3"/>
    </row>
    <row r="112" spans="1:18">
      <c r="J112" s="3"/>
    </row>
    <row r="113" spans="7:13">
      <c r="J113" s="3"/>
    </row>
    <row r="114" spans="7:13">
      <c r="J114" s="3"/>
    </row>
    <row r="115" spans="7:13">
      <c r="J115" s="3"/>
    </row>
    <row r="116" spans="7:13">
      <c r="G116" s="173"/>
    </row>
    <row r="117" spans="7:13">
      <c r="G117" s="14"/>
      <c r="H117" s="1"/>
    </row>
    <row r="118" spans="7:13">
      <c r="G118" s="510"/>
    </row>
    <row r="119" spans="7:13">
      <c r="G119" s="3"/>
      <c r="H119" s="3"/>
      <c r="I119" s="3"/>
      <c r="J119" s="3"/>
      <c r="K119" s="3"/>
      <c r="L119" s="3"/>
      <c r="M119" s="3"/>
    </row>
    <row r="120" spans="7:13">
      <c r="G120" s="3"/>
      <c r="H120" s="3"/>
      <c r="I120" s="3"/>
      <c r="J120" s="3"/>
      <c r="K120" s="3"/>
      <c r="L120" s="3"/>
      <c r="M120" s="3"/>
    </row>
    <row r="121" spans="7:13">
      <c r="H121" s="1"/>
      <c r="L121" s="1"/>
    </row>
    <row r="122" spans="7:13">
      <c r="H122" s="1"/>
      <c r="L122" s="1"/>
    </row>
    <row r="123" spans="7:13">
      <c r="H123" s="1"/>
      <c r="L123" s="1"/>
    </row>
    <row r="124" spans="7:13">
      <c r="G124" s="174"/>
      <c r="H124" s="174"/>
      <c r="I124" s="174"/>
      <c r="J124" s="174"/>
      <c r="K124" s="174"/>
      <c r="L124" s="174"/>
      <c r="M124" s="174"/>
    </row>
    <row r="125" spans="7:13">
      <c r="G125" s="174"/>
      <c r="H125" s="174"/>
      <c r="I125" s="174"/>
      <c r="J125" s="174"/>
      <c r="K125" s="174"/>
      <c r="L125" s="174"/>
      <c r="M125" s="174"/>
    </row>
    <row r="126" spans="7:13">
      <c r="G126" s="173"/>
    </row>
    <row r="127" spans="7:13">
      <c r="G127" s="511"/>
    </row>
    <row r="128" spans="7:13">
      <c r="G128" s="512"/>
    </row>
    <row r="130" spans="7:7">
      <c r="G130" s="174"/>
    </row>
  </sheetData>
  <autoFilter ref="A6:S66" xr:uid="{00000000-0001-0000-1400-000000000000}">
    <sortState xmlns:xlrd2="http://schemas.microsoft.com/office/spreadsheetml/2017/richdata2" ref="A7:S95">
      <sortCondition ref="B6:B66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41"/>
  <sheetViews>
    <sheetView zoomScaleNormal="100" workbookViewId="0">
      <selection activeCell="M35" sqref="M35"/>
    </sheetView>
  </sheetViews>
  <sheetFormatPr defaultRowHeight="11.4"/>
  <cols>
    <col min="1" max="1" width="10.125" customWidth="1"/>
    <col min="2" max="2" width="10.375" customWidth="1"/>
    <col min="3" max="3" width="36" customWidth="1"/>
    <col min="4" max="4" width="37.125" bestFit="1" customWidth="1"/>
    <col min="5" max="5" width="10.625" bestFit="1" customWidth="1"/>
    <col min="6" max="6" width="13.625" bestFit="1" customWidth="1"/>
    <col min="7" max="7" width="13.125" customWidth="1"/>
    <col min="8" max="8" width="15.125" customWidth="1"/>
    <col min="9" max="9" width="9.875" bestFit="1" customWidth="1"/>
    <col min="10" max="10" width="15.125" bestFit="1" customWidth="1"/>
    <col min="11" max="11" width="9.875" bestFit="1" customWidth="1"/>
    <col min="12" max="12" width="17.375" bestFit="1" customWidth="1"/>
    <col min="13" max="13" width="18.625" bestFit="1" customWidth="1"/>
    <col min="14" max="14" width="9.875" style="310" bestFit="1" customWidth="1"/>
    <col min="15" max="15" width="29.375" style="356" bestFit="1" customWidth="1"/>
    <col min="16" max="16" width="16.75" style="356" customWidth="1"/>
    <col min="17" max="17" width="17" bestFit="1" customWidth="1"/>
  </cols>
  <sheetData>
    <row r="1" spans="1:17" ht="13.2">
      <c r="A1" s="165"/>
      <c r="B1" s="165" t="s">
        <v>170</v>
      </c>
      <c r="C1" s="166"/>
      <c r="D1" s="167"/>
      <c r="E1" s="169"/>
      <c r="F1" s="181"/>
      <c r="G1" s="181"/>
      <c r="H1" s="182"/>
      <c r="I1" s="182"/>
      <c r="J1" s="183"/>
      <c r="K1" s="182"/>
      <c r="L1" s="181"/>
      <c r="M1" s="182"/>
      <c r="N1" s="308"/>
    </row>
    <row r="2" spans="1:17" ht="13.2">
      <c r="A2" s="159" t="s">
        <v>32</v>
      </c>
      <c r="B2" s="291" t="s">
        <v>37</v>
      </c>
      <c r="C2" s="292" t="s">
        <v>31</v>
      </c>
      <c r="D2" s="293" t="s">
        <v>49</v>
      </c>
      <c r="E2" s="293" t="s">
        <v>45</v>
      </c>
      <c r="F2" s="184" t="s">
        <v>84</v>
      </c>
      <c r="G2" s="184" t="s">
        <v>85</v>
      </c>
      <c r="H2" s="294" t="s">
        <v>96</v>
      </c>
      <c r="I2" s="294" t="s">
        <v>86</v>
      </c>
      <c r="J2" s="185" t="s">
        <v>87</v>
      </c>
      <c r="K2" s="294"/>
      <c r="L2" s="184" t="s">
        <v>88</v>
      </c>
      <c r="M2" s="295" t="s">
        <v>89</v>
      </c>
      <c r="N2" s="311" t="s">
        <v>22</v>
      </c>
    </row>
    <row r="3" spans="1:17" ht="13.2">
      <c r="A3" s="159" t="s">
        <v>48</v>
      </c>
      <c r="B3" s="297"/>
      <c r="C3" s="292"/>
      <c r="D3" s="293"/>
      <c r="E3" s="293"/>
      <c r="F3" s="184" t="s">
        <v>55</v>
      </c>
      <c r="G3" s="184" t="s">
        <v>55</v>
      </c>
      <c r="H3" s="294" t="s">
        <v>9</v>
      </c>
      <c r="I3" s="294" t="s">
        <v>18</v>
      </c>
      <c r="J3" s="185" t="s">
        <v>55</v>
      </c>
      <c r="K3" s="294" t="s">
        <v>18</v>
      </c>
      <c r="L3" s="184" t="s">
        <v>55</v>
      </c>
      <c r="M3" s="295" t="s">
        <v>90</v>
      </c>
      <c r="N3" s="311" t="s">
        <v>5</v>
      </c>
    </row>
    <row r="4" spans="1:17" ht="13.8" thickBot="1">
      <c r="A4" s="160" t="s">
        <v>17</v>
      </c>
      <c r="B4" s="161"/>
      <c r="C4" s="162"/>
      <c r="D4" s="163"/>
      <c r="E4" s="163"/>
      <c r="F4" s="186"/>
      <c r="G4" s="186"/>
      <c r="H4" s="187"/>
      <c r="I4" s="187"/>
      <c r="J4" s="188"/>
      <c r="K4" s="187"/>
      <c r="L4" s="186"/>
      <c r="M4" s="186"/>
      <c r="N4" s="312" t="s">
        <v>9</v>
      </c>
    </row>
    <row r="5" spans="1:17" ht="13.2">
      <c r="A5" s="31" t="s">
        <v>152</v>
      </c>
      <c r="B5" s="297"/>
      <c r="C5" s="292"/>
      <c r="D5" s="293"/>
      <c r="E5" s="293"/>
      <c r="F5" s="184"/>
      <c r="G5" s="184"/>
      <c r="H5" s="294"/>
      <c r="I5" s="294"/>
      <c r="J5" s="185"/>
      <c r="K5" s="294"/>
      <c r="L5" s="184"/>
      <c r="M5" s="184"/>
      <c r="N5" s="309"/>
    </row>
    <row r="6" spans="1:17" ht="12">
      <c r="A6" s="43" t="s">
        <v>181</v>
      </c>
      <c r="B6" s="1" t="s">
        <v>77</v>
      </c>
      <c r="C6" s="152" t="s">
        <v>156</v>
      </c>
      <c r="D6" s="43" t="s">
        <v>160</v>
      </c>
      <c r="E6" s="43" t="s">
        <v>81</v>
      </c>
      <c r="F6" s="61">
        <v>50000000</v>
      </c>
      <c r="G6" s="61">
        <v>50000000</v>
      </c>
      <c r="H6" s="158">
        <v>42738</v>
      </c>
      <c r="I6" s="158">
        <v>42753</v>
      </c>
      <c r="J6" s="61">
        <f>50000000-2920000</f>
        <v>47080000</v>
      </c>
      <c r="K6" s="158">
        <v>43829</v>
      </c>
      <c r="L6" s="73">
        <f>14500000+32580000</f>
        <v>47080000</v>
      </c>
      <c r="M6" s="64">
        <f>J6-L6</f>
        <v>0</v>
      </c>
      <c r="N6" s="11">
        <v>43802</v>
      </c>
      <c r="O6" s="43" t="s">
        <v>790</v>
      </c>
      <c r="P6" s="43" t="s">
        <v>789</v>
      </c>
      <c r="Q6" s="223"/>
    </row>
    <row r="7" spans="1:17" ht="12">
      <c r="A7" s="1"/>
      <c r="B7" s="1"/>
      <c r="C7" s="152"/>
      <c r="D7" s="1"/>
      <c r="E7" s="1"/>
      <c r="F7" s="67"/>
      <c r="G7" s="64"/>
      <c r="H7" s="137"/>
      <c r="I7" s="137"/>
      <c r="J7" s="64"/>
      <c r="K7" s="137"/>
      <c r="L7" s="137"/>
      <c r="M7" s="137"/>
      <c r="N7" s="13"/>
    </row>
    <row r="8" spans="1:17" s="194" customFormat="1" ht="12">
      <c r="A8" s="4"/>
      <c r="B8" s="4"/>
      <c r="C8" s="4"/>
      <c r="D8" s="4"/>
      <c r="E8" s="4"/>
      <c r="F8" s="202">
        <f>SUM(F6:F7)</f>
        <v>50000000</v>
      </c>
      <c r="G8" s="202">
        <f>SUM(G6:G7)</f>
        <v>50000000</v>
      </c>
      <c r="H8" s="59"/>
      <c r="I8" s="59"/>
      <c r="J8" s="202">
        <f>SUM(J6:J7)</f>
        <v>47080000</v>
      </c>
      <c r="K8" s="137"/>
      <c r="L8" s="202">
        <f>SUM(L6:L7)</f>
        <v>47080000</v>
      </c>
      <c r="M8" s="202">
        <f>SUM(M6:M7)</f>
        <v>0</v>
      </c>
      <c r="N8" s="5"/>
      <c r="O8" s="357"/>
      <c r="P8" s="357"/>
    </row>
    <row r="9" spans="1:17" ht="12">
      <c r="A9" s="1"/>
      <c r="B9" s="1"/>
      <c r="C9" s="1"/>
      <c r="D9" s="1"/>
      <c r="E9" s="1"/>
      <c r="F9" s="64"/>
      <c r="G9" s="64"/>
      <c r="H9" s="137"/>
      <c r="I9" s="137"/>
      <c r="J9" s="137"/>
      <c r="K9" s="137"/>
      <c r="L9" s="64"/>
      <c r="M9" s="64"/>
      <c r="N9" s="13"/>
    </row>
    <row r="10" spans="1:17" ht="12.6" thickBot="1">
      <c r="A10" s="1"/>
      <c r="B10" s="1"/>
      <c r="C10" s="1"/>
      <c r="D10" s="1"/>
      <c r="E10" s="1"/>
      <c r="F10" s="64"/>
      <c r="G10" s="64"/>
      <c r="H10" s="137"/>
      <c r="I10" s="137"/>
      <c r="J10" s="137"/>
      <c r="K10" s="137"/>
      <c r="L10" s="64"/>
      <c r="M10" s="64"/>
      <c r="N10" s="13"/>
    </row>
    <row r="11" spans="1:17" ht="12.6" thickBot="1">
      <c r="A11" s="1"/>
      <c r="B11" s="1"/>
      <c r="C11" s="1"/>
      <c r="D11" s="204" t="s">
        <v>157</v>
      </c>
      <c r="E11" s="205"/>
      <c r="F11" s="208">
        <v>96023000.300000072</v>
      </c>
      <c r="G11" s="64"/>
      <c r="H11" s="64"/>
      <c r="I11" s="137"/>
      <c r="J11" s="137"/>
      <c r="K11" s="137"/>
      <c r="L11" s="64"/>
      <c r="M11" s="64"/>
      <c r="N11" s="13"/>
    </row>
    <row r="12" spans="1:17" ht="12">
      <c r="A12" s="1"/>
      <c r="B12" s="1"/>
      <c r="C12" s="1"/>
      <c r="D12" s="1"/>
      <c r="E12" s="1"/>
      <c r="F12" s="64"/>
      <c r="G12" s="64"/>
      <c r="H12" s="84"/>
      <c r="I12" s="137"/>
      <c r="J12" s="137"/>
      <c r="K12" s="137"/>
      <c r="L12" s="64"/>
      <c r="M12" s="64"/>
      <c r="N12" s="13"/>
    </row>
    <row r="13" spans="1:17">
      <c r="F13" s="201"/>
      <c r="G13" s="201"/>
    </row>
    <row r="15" spans="1:17" ht="12.6" thickBot="1">
      <c r="A15" s="1"/>
      <c r="B15" s="1"/>
      <c r="C15" s="152"/>
      <c r="D15" s="1"/>
      <c r="E15" s="1"/>
      <c r="F15" s="67"/>
      <c r="G15" s="64"/>
      <c r="H15" s="137"/>
      <c r="I15" s="137"/>
      <c r="J15" s="137"/>
      <c r="K15" s="137"/>
      <c r="L15" s="137"/>
      <c r="M15" s="137"/>
      <c r="N15" s="13"/>
    </row>
    <row r="16" spans="1:17" ht="13.2">
      <c r="A16" s="165"/>
      <c r="B16" s="165" t="s">
        <v>171</v>
      </c>
      <c r="C16" s="135"/>
      <c r="D16" s="135"/>
      <c r="E16" s="135"/>
      <c r="F16" s="189"/>
      <c r="G16" s="189"/>
      <c r="H16" s="189"/>
      <c r="I16" s="189"/>
      <c r="J16" s="189"/>
      <c r="K16" s="189"/>
      <c r="L16" s="189"/>
      <c r="M16" s="189"/>
      <c r="N16" s="307"/>
    </row>
    <row r="17" spans="1:17" ht="13.2">
      <c r="A17" s="159" t="s">
        <v>32</v>
      </c>
      <c r="B17" s="291" t="s">
        <v>37</v>
      </c>
      <c r="C17" s="292" t="s">
        <v>31</v>
      </c>
      <c r="D17" s="300" t="s">
        <v>49</v>
      </c>
      <c r="E17" s="300" t="s">
        <v>45</v>
      </c>
      <c r="F17" s="184" t="s">
        <v>84</v>
      </c>
      <c r="G17" s="184" t="s">
        <v>54</v>
      </c>
      <c r="H17" s="294"/>
      <c r="I17" s="294" t="s">
        <v>34</v>
      </c>
      <c r="J17" s="185" t="s">
        <v>87</v>
      </c>
      <c r="K17" s="294"/>
      <c r="L17" s="184" t="s">
        <v>92</v>
      </c>
      <c r="M17" s="295" t="s">
        <v>89</v>
      </c>
      <c r="N17" s="311" t="s">
        <v>22</v>
      </c>
    </row>
    <row r="18" spans="1:17" ht="13.2">
      <c r="A18" s="159" t="s">
        <v>48</v>
      </c>
      <c r="B18" s="297"/>
      <c r="C18" s="292"/>
      <c r="D18" s="300"/>
      <c r="E18" s="300"/>
      <c r="F18" s="184" t="s">
        <v>55</v>
      </c>
      <c r="G18" s="184" t="s">
        <v>55</v>
      </c>
      <c r="H18" s="294" t="s">
        <v>9</v>
      </c>
      <c r="I18" s="294" t="s">
        <v>18</v>
      </c>
      <c r="J18" s="185" t="s">
        <v>55</v>
      </c>
      <c r="K18" s="294" t="s">
        <v>18</v>
      </c>
      <c r="L18" s="184" t="s">
        <v>55</v>
      </c>
      <c r="M18" s="295" t="s">
        <v>90</v>
      </c>
      <c r="N18" s="311" t="s">
        <v>5</v>
      </c>
    </row>
    <row r="19" spans="1:17" ht="13.8" thickBot="1">
      <c r="A19" s="160" t="s">
        <v>17</v>
      </c>
      <c r="B19" s="161"/>
      <c r="C19" s="162"/>
      <c r="D19" s="164"/>
      <c r="E19" s="164"/>
      <c r="F19" s="186"/>
      <c r="G19" s="186"/>
      <c r="H19" s="187"/>
      <c r="I19" s="187"/>
      <c r="J19" s="190"/>
      <c r="K19" s="187"/>
      <c r="L19" s="186"/>
      <c r="M19" s="191" t="s">
        <v>93</v>
      </c>
      <c r="N19" s="312" t="s">
        <v>9</v>
      </c>
    </row>
    <row r="20" spans="1:17" ht="12">
      <c r="A20" s="175" t="s">
        <v>94</v>
      </c>
      <c r="F20" s="193"/>
      <c r="G20" s="196"/>
      <c r="H20" s="158"/>
      <c r="I20" s="193"/>
      <c r="J20" s="193"/>
      <c r="K20" s="321"/>
    </row>
    <row r="21" spans="1:17" s="13" customFormat="1" ht="12">
      <c r="A21" s="43">
        <v>4650</v>
      </c>
      <c r="B21" s="43" t="s">
        <v>77</v>
      </c>
      <c r="C21" s="43" t="s">
        <v>335</v>
      </c>
      <c r="D21" s="152" t="s">
        <v>202</v>
      </c>
      <c r="E21" s="43" t="s">
        <v>174</v>
      </c>
      <c r="F21" s="302">
        <v>51757648</v>
      </c>
      <c r="G21" s="302">
        <v>51757648</v>
      </c>
      <c r="H21" s="3">
        <v>42598</v>
      </c>
      <c r="I21" s="3">
        <f t="shared" ref="I21:I25" si="0">H21+35</f>
        <v>42633</v>
      </c>
      <c r="J21" s="315">
        <v>2648</v>
      </c>
      <c r="K21" s="158">
        <v>43829</v>
      </c>
      <c r="L21" s="78"/>
      <c r="M21" s="78">
        <f t="shared" ref="M21:M23" si="1">J21-L21</f>
        <v>2648</v>
      </c>
      <c r="N21" s="11">
        <v>42762</v>
      </c>
      <c r="O21" s="356"/>
      <c r="Q21" s="11"/>
    </row>
    <row r="22" spans="1:17" s="1" customFormat="1" ht="12">
      <c r="A22" s="43">
        <v>4652</v>
      </c>
      <c r="B22" s="213" t="s">
        <v>77</v>
      </c>
      <c r="C22" s="152" t="s">
        <v>271</v>
      </c>
      <c r="D22" s="152" t="s">
        <v>202</v>
      </c>
      <c r="E22" s="43" t="s">
        <v>198</v>
      </c>
      <c r="F22" s="411">
        <v>35000000</v>
      </c>
      <c r="G22" s="411">
        <v>35000000</v>
      </c>
      <c r="H22" s="3">
        <v>42599</v>
      </c>
      <c r="I22" s="3">
        <f t="shared" si="0"/>
        <v>42634</v>
      </c>
      <c r="J22" s="411">
        <v>35000000</v>
      </c>
      <c r="K22" s="158">
        <v>43829</v>
      </c>
      <c r="L22" s="78"/>
      <c r="M22" s="78">
        <f>J22-L22</f>
        <v>35000000</v>
      </c>
      <c r="N22" s="11">
        <v>43169</v>
      </c>
      <c r="O22" s="223"/>
      <c r="P22" s="43"/>
    </row>
    <row r="23" spans="1:17" s="1" customFormat="1" ht="12">
      <c r="A23" s="43">
        <v>4664</v>
      </c>
      <c r="B23" s="213" t="s">
        <v>204</v>
      </c>
      <c r="C23" s="43" t="s">
        <v>336</v>
      </c>
      <c r="D23" s="152" t="s">
        <v>202</v>
      </c>
      <c r="E23" s="43" t="s">
        <v>169</v>
      </c>
      <c r="F23" s="313">
        <v>30000000</v>
      </c>
      <c r="G23" s="313">
        <v>30000000</v>
      </c>
      <c r="H23" s="3">
        <v>42613</v>
      </c>
      <c r="I23" s="3">
        <f t="shared" si="0"/>
        <v>42648</v>
      </c>
      <c r="J23" s="313">
        <v>10000000</v>
      </c>
      <c r="K23" s="158">
        <v>43829</v>
      </c>
      <c r="L23" s="78"/>
      <c r="M23" s="78">
        <f t="shared" si="1"/>
        <v>10000000</v>
      </c>
      <c r="N23" s="11">
        <v>43432</v>
      </c>
      <c r="O23" s="223"/>
      <c r="P23" s="43"/>
      <c r="Q23" s="3"/>
    </row>
    <row r="24" spans="1:17" s="13" customFormat="1" ht="12">
      <c r="A24" s="43">
        <v>4673</v>
      </c>
      <c r="B24" s="213" t="s">
        <v>77</v>
      </c>
      <c r="C24" s="43" t="s">
        <v>175</v>
      </c>
      <c r="D24" s="152" t="s">
        <v>202</v>
      </c>
      <c r="E24" s="43" t="s">
        <v>176</v>
      </c>
      <c r="F24" s="337">
        <v>14000000</v>
      </c>
      <c r="G24" s="337">
        <v>14000000</v>
      </c>
      <c r="H24" s="328">
        <v>42658</v>
      </c>
      <c r="I24" s="158">
        <f t="shared" si="0"/>
        <v>42693</v>
      </c>
      <c r="J24" s="337">
        <v>14000000</v>
      </c>
      <c r="K24" s="158">
        <v>43829</v>
      </c>
      <c r="L24" s="320"/>
      <c r="M24" s="78">
        <f>J24-L24</f>
        <v>14000000</v>
      </c>
      <c r="N24" s="11">
        <v>43743</v>
      </c>
      <c r="O24" s="508"/>
      <c r="P24" s="43"/>
    </row>
    <row r="25" spans="1:17" s="43" customFormat="1" ht="12">
      <c r="A25" s="43">
        <v>4682</v>
      </c>
      <c r="B25" s="213" t="s">
        <v>77</v>
      </c>
      <c r="C25" s="152" t="s">
        <v>177</v>
      </c>
      <c r="D25" s="152" t="s">
        <v>202</v>
      </c>
      <c r="E25" s="43" t="s">
        <v>81</v>
      </c>
      <c r="F25" s="339">
        <v>50000000</v>
      </c>
      <c r="G25" s="339">
        <v>50000000</v>
      </c>
      <c r="H25" s="328">
        <v>42664</v>
      </c>
      <c r="I25" s="158">
        <f t="shared" si="0"/>
        <v>42699</v>
      </c>
      <c r="J25" s="339">
        <v>6000000</v>
      </c>
      <c r="K25" s="158">
        <v>43829</v>
      </c>
      <c r="L25" s="78"/>
      <c r="M25" s="78">
        <f>J25-L25</f>
        <v>6000000</v>
      </c>
      <c r="N25" s="11">
        <v>43421</v>
      </c>
      <c r="O25" s="223"/>
    </row>
    <row r="26" spans="1:17" s="1" customFormat="1" ht="12">
      <c r="A26" s="13"/>
      <c r="B26" s="43"/>
      <c r="C26" s="152"/>
      <c r="D26" s="152"/>
      <c r="E26" s="152"/>
      <c r="F26" s="73"/>
      <c r="G26" s="73"/>
      <c r="H26" s="3"/>
      <c r="I26" s="3"/>
      <c r="J26" s="9"/>
      <c r="K26" s="3"/>
      <c r="L26" s="176"/>
      <c r="M26" s="218"/>
      <c r="N26" s="13"/>
      <c r="O26" s="43"/>
      <c r="P26" s="43"/>
    </row>
    <row r="27" spans="1:17" s="1" customFormat="1" ht="12">
      <c r="A27" s="13"/>
      <c r="B27" s="43"/>
      <c r="C27" s="152"/>
      <c r="D27" s="152"/>
      <c r="E27" s="152"/>
      <c r="F27" s="73"/>
      <c r="G27" s="73"/>
      <c r="H27" s="3"/>
      <c r="I27" s="3"/>
      <c r="J27" s="79">
        <f>SUM(J21:J26)</f>
        <v>65002648</v>
      </c>
      <c r="K27" s="128"/>
      <c r="L27" s="79">
        <f>SUM(L21:L26)</f>
        <v>0</v>
      </c>
      <c r="M27" s="79">
        <f>SUM(M21:M26)</f>
        <v>65002648</v>
      </c>
      <c r="N27" s="13"/>
      <c r="O27" s="43"/>
      <c r="P27" s="43"/>
    </row>
    <row r="28" spans="1:17">
      <c r="F28" s="193"/>
      <c r="G28" s="193"/>
      <c r="H28" s="193"/>
      <c r="I28" s="193"/>
      <c r="J28" s="193"/>
      <c r="K28" s="193"/>
      <c r="M28" s="201"/>
    </row>
    <row r="29" spans="1:17" ht="12">
      <c r="A29" s="206" t="s">
        <v>60</v>
      </c>
      <c r="F29" s="193"/>
      <c r="G29" s="196"/>
      <c r="H29" s="158"/>
      <c r="I29" s="193"/>
      <c r="J29" s="193"/>
      <c r="K29" s="193"/>
      <c r="L29" s="265"/>
    </row>
    <row r="30" spans="1:17" s="43" customFormat="1" ht="12">
      <c r="A30" s="43">
        <v>4686</v>
      </c>
      <c r="B30" s="213" t="s">
        <v>77</v>
      </c>
      <c r="C30" s="152" t="s">
        <v>161</v>
      </c>
      <c r="D30" s="43" t="s">
        <v>178</v>
      </c>
      <c r="E30" s="43" t="s">
        <v>155</v>
      </c>
      <c r="F30" s="314">
        <v>100000000</v>
      </c>
      <c r="G30" s="153">
        <v>43375000</v>
      </c>
      <c r="H30" s="327">
        <v>42686</v>
      </c>
      <c r="I30" s="158">
        <f t="shared" ref="I30" si="2">H30+35</f>
        <v>42721</v>
      </c>
      <c r="J30" s="153">
        <v>43375000</v>
      </c>
      <c r="K30" s="327">
        <v>43829</v>
      </c>
      <c r="L30" s="153">
        <f>J30</f>
        <v>43375000</v>
      </c>
      <c r="M30" s="78">
        <f t="shared" ref="M30" si="3">J30-L30</f>
        <v>0</v>
      </c>
      <c r="N30" s="11">
        <v>43778</v>
      </c>
      <c r="O30" s="96" t="s">
        <v>812</v>
      </c>
    </row>
    <row r="31" spans="1:17">
      <c r="O31" s="358"/>
    </row>
    <row r="32" spans="1:17" ht="12">
      <c r="I32" s="207"/>
      <c r="J32" s="79">
        <f>SUM(J30:J31)</f>
        <v>43375000</v>
      </c>
      <c r="K32" s="316"/>
      <c r="L32" s="79">
        <f>SUM(L30:L31)</f>
        <v>43375000</v>
      </c>
      <c r="M32" s="79">
        <f>SUM(M30:M31)</f>
        <v>0</v>
      </c>
    </row>
    <row r="33" spans="9:16">
      <c r="I33" s="207"/>
    </row>
    <row r="35" spans="9:16" ht="12.6" thickBot="1">
      <c r="J35" s="396">
        <f>J8+J27+J32</f>
        <v>155457648</v>
      </c>
      <c r="M35" s="401">
        <f>M8+M27+M32</f>
        <v>65002648</v>
      </c>
      <c r="N35"/>
      <c r="O35" s="282"/>
      <c r="P35"/>
    </row>
    <row r="36" spans="9:16" ht="12" thickTop="1"/>
    <row r="38" spans="9:16">
      <c r="L38" s="201"/>
    </row>
    <row r="39" spans="9:16">
      <c r="L39" s="275"/>
    </row>
    <row r="40" spans="9:16">
      <c r="L40" s="265"/>
    </row>
    <row r="41" spans="9:16">
      <c r="L41" s="431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51"/>
  <sheetViews>
    <sheetView workbookViewId="0">
      <selection activeCell="M44" sqref="M44"/>
    </sheetView>
  </sheetViews>
  <sheetFormatPr defaultRowHeight="11.4"/>
  <cols>
    <col min="1" max="1" width="11" bestFit="1" customWidth="1"/>
    <col min="2" max="2" width="12" customWidth="1"/>
    <col min="3" max="3" width="32.625" bestFit="1" customWidth="1"/>
    <col min="4" max="4" width="40.125" bestFit="1" customWidth="1"/>
    <col min="5" max="5" width="12.125" bestFit="1" customWidth="1"/>
    <col min="6" max="6" width="16.375" bestFit="1" customWidth="1"/>
    <col min="7" max="7" width="17.375" bestFit="1" customWidth="1"/>
    <col min="8" max="8" width="15.25" bestFit="1" customWidth="1"/>
    <col min="9" max="9" width="11.875" bestFit="1" customWidth="1"/>
    <col min="10" max="10" width="16.375" bestFit="1" customWidth="1"/>
    <col min="11" max="11" width="11.875" bestFit="1" customWidth="1"/>
    <col min="12" max="12" width="17.625" bestFit="1" customWidth="1"/>
    <col min="13" max="13" width="18.625" bestFit="1" customWidth="1"/>
    <col min="14" max="14" width="11.75" bestFit="1" customWidth="1"/>
    <col min="15" max="15" width="17" bestFit="1" customWidth="1"/>
    <col min="16" max="16" width="11.375" customWidth="1"/>
    <col min="17" max="18" width="17" bestFit="1" customWidth="1"/>
    <col min="20" max="20" width="11.625" bestFit="1" customWidth="1"/>
  </cols>
  <sheetData>
    <row r="1" spans="1:15" ht="13.2">
      <c r="A1" s="165"/>
      <c r="B1" s="165" t="s">
        <v>199</v>
      </c>
      <c r="C1" s="166"/>
      <c r="D1" s="167"/>
      <c r="E1" s="169"/>
      <c r="F1" s="181"/>
      <c r="G1" s="181"/>
      <c r="H1" s="182"/>
      <c r="I1" s="182"/>
      <c r="J1" s="183"/>
      <c r="K1" s="182"/>
      <c r="L1" s="181"/>
      <c r="M1" s="182"/>
      <c r="N1" s="290"/>
    </row>
    <row r="2" spans="1:15" ht="13.2">
      <c r="A2" s="159" t="s">
        <v>32</v>
      </c>
      <c r="B2" s="291" t="s">
        <v>37</v>
      </c>
      <c r="C2" s="292" t="s">
        <v>31</v>
      </c>
      <c r="D2" s="293" t="s">
        <v>49</v>
      </c>
      <c r="E2" s="293" t="s">
        <v>45</v>
      </c>
      <c r="F2" s="184" t="s">
        <v>84</v>
      </c>
      <c r="G2" s="184" t="s">
        <v>85</v>
      </c>
      <c r="H2" s="294" t="s">
        <v>96</v>
      </c>
      <c r="I2" s="294" t="s">
        <v>86</v>
      </c>
      <c r="J2" s="185" t="s">
        <v>87</v>
      </c>
      <c r="K2" s="294"/>
      <c r="L2" s="184" t="s">
        <v>88</v>
      </c>
      <c r="M2" s="295" t="s">
        <v>89</v>
      </c>
      <c r="N2" s="296" t="s">
        <v>22</v>
      </c>
    </row>
    <row r="3" spans="1:15" ht="13.2">
      <c r="A3" s="159" t="s">
        <v>48</v>
      </c>
      <c r="B3" s="297"/>
      <c r="C3" s="292"/>
      <c r="D3" s="293"/>
      <c r="E3" s="293"/>
      <c r="F3" s="184" t="s">
        <v>55</v>
      </c>
      <c r="G3" s="184" t="s">
        <v>55</v>
      </c>
      <c r="H3" s="294" t="s">
        <v>9</v>
      </c>
      <c r="I3" s="294" t="s">
        <v>18</v>
      </c>
      <c r="J3" s="185" t="s">
        <v>55</v>
      </c>
      <c r="K3" s="294" t="s">
        <v>18</v>
      </c>
      <c r="L3" s="184" t="s">
        <v>55</v>
      </c>
      <c r="M3" s="295" t="s">
        <v>90</v>
      </c>
      <c r="N3" s="296" t="s">
        <v>5</v>
      </c>
    </row>
    <row r="4" spans="1:15" ht="13.8" thickBot="1">
      <c r="A4" s="160" t="s">
        <v>17</v>
      </c>
      <c r="B4" s="161"/>
      <c r="C4" s="162"/>
      <c r="D4" s="163"/>
      <c r="E4" s="163"/>
      <c r="F4" s="186"/>
      <c r="G4" s="186"/>
      <c r="H4" s="187"/>
      <c r="I4" s="187"/>
      <c r="J4" s="188"/>
      <c r="K4" s="187"/>
      <c r="L4" s="186"/>
      <c r="M4" s="186"/>
      <c r="N4" s="298" t="s">
        <v>9</v>
      </c>
    </row>
    <row r="5" spans="1:15">
      <c r="A5" s="31" t="s">
        <v>152</v>
      </c>
    </row>
    <row r="6" spans="1:15" s="1" customFormat="1" ht="12">
      <c r="A6" s="141" t="s">
        <v>209</v>
      </c>
      <c r="B6" s="1" t="s">
        <v>204</v>
      </c>
      <c r="C6" s="1" t="s">
        <v>98</v>
      </c>
      <c r="D6" s="1" t="s">
        <v>193</v>
      </c>
      <c r="E6" s="1" t="s">
        <v>79</v>
      </c>
      <c r="F6" s="9">
        <v>45000000</v>
      </c>
      <c r="G6" s="9">
        <f>F6</f>
        <v>45000000</v>
      </c>
      <c r="H6" s="3">
        <v>43104</v>
      </c>
      <c r="I6" s="3">
        <v>43111</v>
      </c>
      <c r="J6" s="9">
        <f>G6</f>
        <v>45000000</v>
      </c>
      <c r="K6" s="3">
        <v>44195</v>
      </c>
      <c r="L6" s="9">
        <v>40500000</v>
      </c>
      <c r="M6" s="9">
        <f>J6-L6</f>
        <v>4500000</v>
      </c>
      <c r="N6" s="3">
        <v>43825</v>
      </c>
    </row>
    <row r="7" spans="1:15" s="1" customFormat="1" ht="12">
      <c r="A7" s="141" t="s">
        <v>211</v>
      </c>
      <c r="B7" s="1" t="s">
        <v>204</v>
      </c>
      <c r="C7" s="1" t="s">
        <v>98</v>
      </c>
      <c r="D7" s="1" t="s">
        <v>212</v>
      </c>
      <c r="E7" s="1" t="s">
        <v>79</v>
      </c>
      <c r="F7" s="9">
        <v>20000000</v>
      </c>
      <c r="G7" s="9">
        <f>F7</f>
        <v>20000000</v>
      </c>
      <c r="H7" s="3">
        <v>43104</v>
      </c>
      <c r="I7" s="3">
        <v>43111</v>
      </c>
      <c r="J7" s="9">
        <f>G7</f>
        <v>20000000</v>
      </c>
      <c r="K7" s="3">
        <v>44195</v>
      </c>
      <c r="L7" s="9">
        <v>20000000</v>
      </c>
      <c r="M7" s="9">
        <f>J7-L7</f>
        <v>0</v>
      </c>
      <c r="N7" s="3">
        <v>43482</v>
      </c>
    </row>
    <row r="8" spans="1:15" s="4" customFormat="1">
      <c r="A8" s="31" t="s">
        <v>227</v>
      </c>
      <c r="B8" s="4" t="s">
        <v>77</v>
      </c>
      <c r="C8" s="4" t="s">
        <v>98</v>
      </c>
      <c r="D8" s="4" t="s">
        <v>228</v>
      </c>
      <c r="E8" s="4" t="s">
        <v>79</v>
      </c>
      <c r="F8" s="128">
        <v>26000000</v>
      </c>
      <c r="G8" s="148">
        <v>24201050.400000006</v>
      </c>
      <c r="H8" s="7">
        <v>43111</v>
      </c>
      <c r="I8" s="7">
        <v>43119</v>
      </c>
      <c r="J8" s="148">
        <f>G8</f>
        <v>24201050.400000006</v>
      </c>
      <c r="K8" s="7">
        <v>44195</v>
      </c>
      <c r="L8" s="128"/>
      <c r="M8" s="148">
        <f>J8-L8</f>
        <v>24201050.400000006</v>
      </c>
    </row>
    <row r="10" spans="1:15" ht="12">
      <c r="F10" s="202">
        <f>SUM(F6:F9)</f>
        <v>91000000</v>
      </c>
      <c r="G10" s="374">
        <f>SUM(G6:G9)</f>
        <v>89201050.400000006</v>
      </c>
      <c r="H10" s="137"/>
      <c r="I10" s="137"/>
      <c r="J10" s="374">
        <f>SUM(J6:J9)</f>
        <v>89201050.400000006</v>
      </c>
      <c r="K10" s="137"/>
      <c r="L10" s="87">
        <f>SUM(L6:L9)</f>
        <v>60500000</v>
      </c>
      <c r="M10" s="405">
        <f>SUM(M6:M9)</f>
        <v>28701050.400000006</v>
      </c>
    </row>
    <row r="12" spans="1:15" ht="12" thickBot="1">
      <c r="G12" s="207"/>
    </row>
    <row r="13" spans="1:15" ht="12.6" thickBot="1">
      <c r="D13" s="204" t="s">
        <v>157</v>
      </c>
      <c r="E13" s="205"/>
      <c r="F13" s="380">
        <v>119201050.40000001</v>
      </c>
    </row>
    <row r="14" spans="1:15">
      <c r="F14" s="201"/>
      <c r="K14" s="211"/>
    </row>
    <row r="15" spans="1:15" ht="12">
      <c r="F15" s="207"/>
      <c r="N15" s="211"/>
      <c r="O15" s="1"/>
    </row>
    <row r="17" spans="1:18" ht="12" thickBot="1"/>
    <row r="18" spans="1:18" ht="13.2">
      <c r="A18" s="165"/>
      <c r="B18" s="165" t="s">
        <v>229</v>
      </c>
      <c r="C18" s="135"/>
      <c r="D18" s="135"/>
      <c r="E18" s="135"/>
      <c r="F18" s="189"/>
      <c r="G18" s="189"/>
      <c r="H18" s="189"/>
      <c r="I18" s="189"/>
      <c r="J18" s="189"/>
      <c r="K18" s="189"/>
      <c r="L18" s="189"/>
      <c r="M18" s="189"/>
      <c r="N18" s="299"/>
    </row>
    <row r="19" spans="1:18" ht="13.2">
      <c r="A19" s="159" t="s">
        <v>32</v>
      </c>
      <c r="B19" s="291" t="s">
        <v>37</v>
      </c>
      <c r="C19" s="292" t="s">
        <v>31</v>
      </c>
      <c r="D19" s="300" t="s">
        <v>49</v>
      </c>
      <c r="E19" s="300" t="s">
        <v>45</v>
      </c>
      <c r="F19" s="184" t="s">
        <v>84</v>
      </c>
      <c r="G19" s="184" t="s">
        <v>54</v>
      </c>
      <c r="H19" s="294"/>
      <c r="I19" s="294" t="s">
        <v>34</v>
      </c>
      <c r="J19" s="185" t="s">
        <v>87</v>
      </c>
      <c r="K19" s="294"/>
      <c r="L19" s="184" t="s">
        <v>92</v>
      </c>
      <c r="M19" s="295" t="s">
        <v>89</v>
      </c>
      <c r="N19" s="296" t="s">
        <v>22</v>
      </c>
    </row>
    <row r="20" spans="1:18" ht="13.2">
      <c r="A20" s="159" t="s">
        <v>48</v>
      </c>
      <c r="B20" s="297"/>
      <c r="C20" s="292"/>
      <c r="D20" s="300"/>
      <c r="E20" s="300"/>
      <c r="F20" s="184" t="s">
        <v>55</v>
      </c>
      <c r="G20" s="184" t="s">
        <v>55</v>
      </c>
      <c r="H20" s="294" t="s">
        <v>9</v>
      </c>
      <c r="I20" s="294" t="s">
        <v>18</v>
      </c>
      <c r="J20" s="185" t="s">
        <v>55</v>
      </c>
      <c r="K20" s="294" t="s">
        <v>18</v>
      </c>
      <c r="L20" s="184" t="s">
        <v>55</v>
      </c>
      <c r="M20" s="295" t="s">
        <v>90</v>
      </c>
      <c r="N20" s="296" t="s">
        <v>5</v>
      </c>
    </row>
    <row r="21" spans="1:18" ht="13.8" thickBot="1">
      <c r="A21" s="160" t="s">
        <v>17</v>
      </c>
      <c r="B21" s="161"/>
      <c r="C21" s="162"/>
      <c r="D21" s="164"/>
      <c r="E21" s="164"/>
      <c r="F21" s="186"/>
      <c r="G21" s="186"/>
      <c r="H21" s="187"/>
      <c r="I21" s="187"/>
      <c r="J21" s="190"/>
      <c r="K21" s="187"/>
      <c r="L21" s="186"/>
      <c r="M21" s="191" t="s">
        <v>93</v>
      </c>
      <c r="N21" s="298" t="s">
        <v>9</v>
      </c>
    </row>
    <row r="22" spans="1:18">
      <c r="A22" s="168" t="s">
        <v>56</v>
      </c>
    </row>
    <row r="23" spans="1:18" ht="12">
      <c r="A23" s="43">
        <v>4779</v>
      </c>
      <c r="B23" s="43" t="s">
        <v>77</v>
      </c>
      <c r="C23" s="152" t="s">
        <v>76</v>
      </c>
      <c r="D23" s="152" t="s">
        <v>151</v>
      </c>
      <c r="E23" s="152" t="s">
        <v>155</v>
      </c>
      <c r="F23" s="9">
        <v>347260414</v>
      </c>
      <c r="G23" s="9">
        <v>347260414</v>
      </c>
      <c r="H23" s="3">
        <v>42952</v>
      </c>
      <c r="I23" s="158">
        <v>42987</v>
      </c>
      <c r="J23" s="85">
        <f>347260414-24549583-201862351.7</f>
        <v>120848479.30000001</v>
      </c>
      <c r="K23" s="158">
        <v>44195</v>
      </c>
      <c r="L23" s="404">
        <v>120848479.3</v>
      </c>
      <c r="M23" s="85">
        <f>J23-L23</f>
        <v>0</v>
      </c>
      <c r="N23" s="158">
        <v>43476</v>
      </c>
      <c r="O23" s="470" t="s">
        <v>602</v>
      </c>
      <c r="Q23" s="1"/>
    </row>
    <row r="24" spans="1:18" ht="12">
      <c r="A24" s="43">
        <v>4785</v>
      </c>
      <c r="B24" s="43" t="s">
        <v>77</v>
      </c>
      <c r="C24" s="152" t="s">
        <v>76</v>
      </c>
      <c r="D24" s="152" t="s">
        <v>106</v>
      </c>
      <c r="E24" s="152" t="s">
        <v>155</v>
      </c>
      <c r="F24" s="9">
        <v>319531618</v>
      </c>
      <c r="G24" s="9">
        <v>319531618</v>
      </c>
      <c r="H24" s="3">
        <v>42956</v>
      </c>
      <c r="I24" s="158">
        <v>42991</v>
      </c>
      <c r="J24" s="9">
        <v>319531618</v>
      </c>
      <c r="K24" s="158">
        <v>44195</v>
      </c>
      <c r="L24" s="45">
        <f>179151520.7+140380097.3</f>
        <v>319531618</v>
      </c>
      <c r="M24" s="85">
        <f>J24-L24</f>
        <v>0</v>
      </c>
      <c r="N24" s="158">
        <v>43553</v>
      </c>
      <c r="O24" s="471" t="s">
        <v>710</v>
      </c>
      <c r="P24" s="500" t="s">
        <v>683</v>
      </c>
      <c r="R24" s="422"/>
    </row>
    <row r="25" spans="1:18" ht="12">
      <c r="F25" s="193"/>
      <c r="G25" s="193"/>
      <c r="H25" s="193"/>
      <c r="I25" s="193"/>
      <c r="J25" s="193"/>
      <c r="K25" s="193"/>
      <c r="M25" s="215"/>
      <c r="N25" s="158"/>
    </row>
    <row r="26" spans="1:18" ht="12">
      <c r="F26" s="321"/>
      <c r="G26" s="193"/>
      <c r="H26" s="321"/>
      <c r="I26" s="193"/>
      <c r="J26" s="202">
        <f>SUM(J23:J25)</f>
        <v>440380097.30000001</v>
      </c>
      <c r="K26" s="375"/>
      <c r="L26" s="202">
        <f>SUM(L23:L25)</f>
        <v>440380097.30000001</v>
      </c>
      <c r="M26" s="374">
        <f>SUM(M23:M25)</f>
        <v>0</v>
      </c>
      <c r="N26" s="158"/>
    </row>
    <row r="27" spans="1:18" ht="12">
      <c r="F27" s="321"/>
      <c r="G27" s="193"/>
      <c r="H27" s="321"/>
      <c r="I27" s="193"/>
      <c r="J27" s="193"/>
      <c r="K27" s="193"/>
      <c r="L27" s="275"/>
      <c r="M27" s="265"/>
      <c r="N27" s="158"/>
    </row>
    <row r="28" spans="1:18" ht="12.6" thickBot="1">
      <c r="F28" s="193"/>
      <c r="G28" s="193"/>
      <c r="H28" s="193"/>
      <c r="I28" s="193"/>
      <c r="J28" s="193"/>
      <c r="K28" s="321"/>
      <c r="L28" s="430"/>
      <c r="N28" s="158"/>
    </row>
    <row r="29" spans="1:18" ht="12">
      <c r="A29" s="175" t="s">
        <v>94</v>
      </c>
      <c r="F29" s="193"/>
      <c r="G29" s="196"/>
      <c r="H29" s="158"/>
      <c r="I29" s="193"/>
      <c r="J29" s="193"/>
      <c r="K29" s="321"/>
      <c r="L29" s="431"/>
      <c r="N29" s="158"/>
    </row>
    <row r="30" spans="1:18" ht="12">
      <c r="A30" s="43">
        <v>4782</v>
      </c>
      <c r="B30" s="43" t="s">
        <v>77</v>
      </c>
      <c r="C30" s="152" t="s">
        <v>144</v>
      </c>
      <c r="D30" s="152" t="s">
        <v>94</v>
      </c>
      <c r="E30" s="152" t="s">
        <v>82</v>
      </c>
      <c r="F30" s="9">
        <v>50000000</v>
      </c>
      <c r="G30" s="9">
        <v>50000000</v>
      </c>
      <c r="H30" s="3">
        <v>42955</v>
      </c>
      <c r="I30" s="158">
        <v>42990</v>
      </c>
      <c r="J30" s="85">
        <f>50000000-13873425.81</f>
        <v>36126574.189999998</v>
      </c>
      <c r="K30" s="158">
        <v>44195</v>
      </c>
      <c r="L30" s="45">
        <v>36126574.189999998</v>
      </c>
      <c r="M30" s="85">
        <f>J30-L30</f>
        <v>0</v>
      </c>
      <c r="N30" s="158">
        <v>43686</v>
      </c>
      <c r="O30" s="43" t="s">
        <v>680</v>
      </c>
    </row>
    <row r="31" spans="1:18" ht="12">
      <c r="A31" s="43">
        <v>4789</v>
      </c>
      <c r="B31" s="43" t="s">
        <v>77</v>
      </c>
      <c r="C31" s="152" t="s">
        <v>144</v>
      </c>
      <c r="D31" s="152" t="s">
        <v>94</v>
      </c>
      <c r="E31" s="152" t="s">
        <v>82</v>
      </c>
      <c r="F31" s="85">
        <v>13418261.6</v>
      </c>
      <c r="G31" s="85">
        <v>13418261.6</v>
      </c>
      <c r="H31" s="3">
        <v>42958</v>
      </c>
      <c r="I31" s="158">
        <v>42993</v>
      </c>
      <c r="J31" s="85">
        <v>13418261.6</v>
      </c>
      <c r="K31" s="158">
        <v>44195</v>
      </c>
      <c r="L31" s="45">
        <f>47999860.4-L30</f>
        <v>11873286.210000001</v>
      </c>
      <c r="M31" s="85">
        <f t="shared" ref="M31:M34" si="0">J31-L31</f>
        <v>1544975.3899999987</v>
      </c>
      <c r="N31" s="158">
        <v>43686</v>
      </c>
      <c r="O31" s="43" t="s">
        <v>793</v>
      </c>
      <c r="Q31" s="265"/>
    </row>
    <row r="32" spans="1:18" ht="12">
      <c r="A32" s="43">
        <v>4793</v>
      </c>
      <c r="B32" s="43" t="s">
        <v>204</v>
      </c>
      <c r="C32" s="152" t="s">
        <v>97</v>
      </c>
      <c r="D32" s="152" t="s">
        <v>185</v>
      </c>
      <c r="E32" s="152" t="s">
        <v>186</v>
      </c>
      <c r="F32" s="9">
        <v>25000000</v>
      </c>
      <c r="G32" s="9">
        <v>25000000</v>
      </c>
      <c r="H32" s="3">
        <v>42963</v>
      </c>
      <c r="I32" s="158">
        <v>42998</v>
      </c>
      <c r="J32" s="9">
        <f>25000000-24638000</f>
        <v>362000</v>
      </c>
      <c r="K32" s="158">
        <v>44195</v>
      </c>
      <c r="L32" s="318">
        <v>362000</v>
      </c>
      <c r="M32" s="9">
        <f t="shared" si="0"/>
        <v>0</v>
      </c>
      <c r="N32" s="158">
        <v>43713</v>
      </c>
      <c r="O32" s="43" t="s">
        <v>705</v>
      </c>
    </row>
    <row r="33" spans="1:16" ht="12">
      <c r="A33" s="376">
        <v>4798</v>
      </c>
      <c r="B33" s="376" t="s">
        <v>204</v>
      </c>
      <c r="C33" s="377" t="s">
        <v>145</v>
      </c>
      <c r="D33" s="377" t="s">
        <v>195</v>
      </c>
      <c r="E33" s="377" t="s">
        <v>81</v>
      </c>
      <c r="F33" s="378">
        <v>45000000</v>
      </c>
      <c r="G33" s="378">
        <v>45000000</v>
      </c>
      <c r="H33" s="277">
        <v>42964</v>
      </c>
      <c r="I33" s="379">
        <f t="shared" ref="I33:I34" si="1">H33+35</f>
        <v>42999</v>
      </c>
      <c r="J33" s="378">
        <f>(45000000-1504272)-(39350000-1504272)</f>
        <v>5650000</v>
      </c>
      <c r="K33" s="379">
        <f t="shared" ref="K33" si="2">H33+180</f>
        <v>43144</v>
      </c>
      <c r="L33" s="410"/>
      <c r="M33" s="378">
        <f t="shared" si="0"/>
        <v>5650000</v>
      </c>
      <c r="N33" s="158">
        <v>43257</v>
      </c>
      <c r="O33" s="408"/>
      <c r="P33" s="223"/>
    </row>
    <row r="34" spans="1:16" ht="12">
      <c r="A34" s="43">
        <v>4805</v>
      </c>
      <c r="B34" s="43" t="s">
        <v>77</v>
      </c>
      <c r="C34" s="152" t="s">
        <v>190</v>
      </c>
      <c r="D34" s="152" t="s">
        <v>94</v>
      </c>
      <c r="E34" s="152" t="s">
        <v>191</v>
      </c>
      <c r="F34" s="9">
        <v>40000000</v>
      </c>
      <c r="G34" s="9">
        <v>40000000</v>
      </c>
      <c r="H34" s="3">
        <v>43026</v>
      </c>
      <c r="I34" s="158">
        <f t="shared" si="1"/>
        <v>43061</v>
      </c>
      <c r="J34" s="9">
        <f>35000000-33000000</f>
        <v>2000000</v>
      </c>
      <c r="K34" s="158">
        <v>44195</v>
      </c>
      <c r="L34" s="27"/>
      <c r="M34" s="9">
        <f t="shared" si="0"/>
        <v>2000000</v>
      </c>
      <c r="N34" s="158">
        <v>43294</v>
      </c>
      <c r="O34" s="421"/>
      <c r="P34" s="43"/>
    </row>
    <row r="35" spans="1:16" ht="12">
      <c r="A35" s="43"/>
      <c r="B35" s="43"/>
      <c r="C35" s="152"/>
      <c r="D35" s="152"/>
      <c r="E35" s="152"/>
      <c r="F35" s="9"/>
      <c r="G35" s="9"/>
      <c r="H35" s="3"/>
      <c r="I35" s="158"/>
      <c r="J35" s="9"/>
      <c r="K35" s="158"/>
      <c r="L35" s="27"/>
      <c r="M35" s="9"/>
      <c r="N35" s="158"/>
    </row>
    <row r="36" spans="1:16" ht="12">
      <c r="A36" s="13"/>
      <c r="B36" s="43"/>
      <c r="C36" s="152"/>
      <c r="D36" s="152"/>
      <c r="E36" s="152"/>
      <c r="F36" s="73"/>
      <c r="G36" s="73"/>
      <c r="H36" s="3"/>
      <c r="I36" s="3"/>
      <c r="J36" s="79">
        <f>SUM(J30:J35)</f>
        <v>57556835.789999999</v>
      </c>
      <c r="K36" s="7"/>
      <c r="L36" s="79">
        <f>SUM(L30:L35)</f>
        <v>48361860.399999999</v>
      </c>
      <c r="M36" s="400">
        <f>SUM(M30:M35)</f>
        <v>9194975.3899999987</v>
      </c>
      <c r="N36" s="158"/>
    </row>
    <row r="37" spans="1:16" ht="12.6" thickBot="1">
      <c r="F37" s="193"/>
      <c r="G37" s="193"/>
      <c r="H37" s="193"/>
      <c r="I37" s="193"/>
      <c r="J37" s="193"/>
      <c r="K37" s="193"/>
      <c r="M37" s="207"/>
      <c r="N37" s="158"/>
    </row>
    <row r="38" spans="1:16" ht="12">
      <c r="A38" s="175" t="s">
        <v>60</v>
      </c>
      <c r="F38" s="193"/>
      <c r="G38" s="196"/>
      <c r="H38" s="158"/>
      <c r="I38" s="193"/>
      <c r="J38" s="193"/>
      <c r="K38" s="193"/>
      <c r="N38" s="158"/>
    </row>
    <row r="39" spans="1:16" ht="12">
      <c r="A39" s="43">
        <v>4792</v>
      </c>
      <c r="B39" s="43" t="s">
        <v>77</v>
      </c>
      <c r="C39" s="152" t="s">
        <v>83</v>
      </c>
      <c r="D39" s="43" t="s">
        <v>196</v>
      </c>
      <c r="E39" s="43" t="s">
        <v>150</v>
      </c>
      <c r="F39" s="314">
        <v>85000000</v>
      </c>
      <c r="G39" s="153">
        <v>85000000</v>
      </c>
      <c r="H39" s="327">
        <v>42959</v>
      </c>
      <c r="I39" s="158">
        <v>42994</v>
      </c>
      <c r="J39" s="153">
        <v>85000000</v>
      </c>
      <c r="K39" s="327">
        <v>44195</v>
      </c>
      <c r="L39" s="153">
        <f>50000000</f>
        <v>50000000</v>
      </c>
      <c r="M39" s="78">
        <f>J39-L39</f>
        <v>35000000</v>
      </c>
      <c r="N39" s="158">
        <v>43622</v>
      </c>
      <c r="O39" s="43" t="s">
        <v>669</v>
      </c>
      <c r="P39" s="223"/>
    </row>
    <row r="40" spans="1:16" ht="12">
      <c r="I40" s="211"/>
      <c r="N40" s="158"/>
    </row>
    <row r="41" spans="1:16" ht="12">
      <c r="I41" s="207"/>
      <c r="J41" s="79">
        <f>SUM(J39:J40)</f>
        <v>85000000</v>
      </c>
      <c r="K41" s="194"/>
      <c r="L41" s="79">
        <f>SUM(L39:L40)</f>
        <v>50000000</v>
      </c>
      <c r="M41" s="79">
        <f>SUM(M39:M40)</f>
        <v>35000000</v>
      </c>
      <c r="N41" s="158"/>
    </row>
    <row r="42" spans="1:16" ht="12">
      <c r="I42" s="207"/>
      <c r="N42" s="158"/>
    </row>
    <row r="44" spans="1:16" ht="12.6" thickBot="1">
      <c r="J44" s="396">
        <f>J10+J26+J36+J41</f>
        <v>672137983.49000001</v>
      </c>
      <c r="M44" s="401">
        <f>M41+M36+M26+M10</f>
        <v>72896025.790000007</v>
      </c>
      <c r="O44" s="282"/>
    </row>
    <row r="45" spans="1:16" ht="12" thickTop="1">
      <c r="M45" s="207"/>
    </row>
    <row r="46" spans="1:16">
      <c r="J46" s="201"/>
      <c r="L46" s="201"/>
    </row>
    <row r="47" spans="1:16">
      <c r="L47" s="201"/>
    </row>
    <row r="48" spans="1:16">
      <c r="H48" s="211"/>
      <c r="L48" s="515"/>
    </row>
    <row r="49" spans="7:12">
      <c r="G49" s="413"/>
      <c r="H49" s="211"/>
      <c r="L49" s="430"/>
    </row>
    <row r="50" spans="7:12">
      <c r="G50" s="207"/>
      <c r="L50" s="430"/>
    </row>
    <row r="51" spans="7:12">
      <c r="G51" s="413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dimension ref="A1:T100"/>
  <sheetViews>
    <sheetView workbookViewId="0">
      <selection activeCell="F24" sqref="F24"/>
    </sheetView>
  </sheetViews>
  <sheetFormatPr defaultRowHeight="11.4"/>
  <cols>
    <col min="1" max="1" width="9.625" customWidth="1"/>
    <col min="2" max="2" width="12" customWidth="1"/>
    <col min="3" max="3" width="39.125" bestFit="1" customWidth="1"/>
    <col min="4" max="4" width="42.625" bestFit="1" customWidth="1"/>
    <col min="5" max="5" width="12.125" bestFit="1" customWidth="1"/>
    <col min="6" max="6" width="16.375" bestFit="1" customWidth="1"/>
    <col min="7" max="7" width="17.375" bestFit="1" customWidth="1"/>
    <col min="8" max="8" width="15.25" bestFit="1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18.625" bestFit="1" customWidth="1"/>
    <col min="14" max="14" width="11.75" bestFit="1" customWidth="1"/>
    <col min="15" max="15" width="16.875" customWidth="1"/>
    <col min="16" max="17" width="14.375" bestFit="1" customWidth="1"/>
    <col min="18" max="18" width="9.125" customWidth="1"/>
    <col min="20" max="20" width="26.25" bestFit="1" customWidth="1"/>
  </cols>
  <sheetData>
    <row r="1" spans="1:20" ht="13.2">
      <c r="A1" s="165"/>
      <c r="B1" s="165" t="s">
        <v>328</v>
      </c>
      <c r="C1" s="166"/>
      <c r="D1" s="167"/>
      <c r="E1" s="169"/>
      <c r="F1" s="181"/>
      <c r="G1" s="181"/>
      <c r="H1" s="182"/>
      <c r="I1" s="182"/>
      <c r="J1" s="183"/>
      <c r="K1" s="182"/>
      <c r="L1" s="181"/>
      <c r="M1" s="182"/>
      <c r="N1" s="434"/>
      <c r="O1" s="434"/>
      <c r="P1" s="434"/>
      <c r="Q1" s="290"/>
      <c r="T1" s="392" t="s">
        <v>89</v>
      </c>
    </row>
    <row r="2" spans="1:20" ht="13.2">
      <c r="A2" s="159" t="s">
        <v>32</v>
      </c>
      <c r="B2" s="291" t="s">
        <v>37</v>
      </c>
      <c r="C2" s="292" t="s">
        <v>31</v>
      </c>
      <c r="D2" s="293" t="s">
        <v>49</v>
      </c>
      <c r="E2" s="293" t="s">
        <v>45</v>
      </c>
      <c r="F2" s="184" t="s">
        <v>84</v>
      </c>
      <c r="G2" s="184" t="s">
        <v>85</v>
      </c>
      <c r="H2" s="294" t="s">
        <v>96</v>
      </c>
      <c r="I2" s="294" t="s">
        <v>86</v>
      </c>
      <c r="J2" s="185" t="s">
        <v>87</v>
      </c>
      <c r="K2" s="294"/>
      <c r="L2" s="184" t="s">
        <v>88</v>
      </c>
      <c r="M2" s="295" t="s">
        <v>89</v>
      </c>
      <c r="N2" s="435" t="s">
        <v>22</v>
      </c>
      <c r="O2" s="437" t="s">
        <v>207</v>
      </c>
      <c r="P2" s="437" t="s">
        <v>376</v>
      </c>
      <c r="Q2" s="438" t="s">
        <v>378</v>
      </c>
      <c r="T2" s="393" t="s">
        <v>90</v>
      </c>
    </row>
    <row r="3" spans="1:20" ht="13.2">
      <c r="A3" s="159" t="s">
        <v>48</v>
      </c>
      <c r="B3" s="297"/>
      <c r="C3" s="292"/>
      <c r="D3" s="293"/>
      <c r="E3" s="293"/>
      <c r="F3" s="184" t="s">
        <v>55</v>
      </c>
      <c r="G3" s="184" t="s">
        <v>55</v>
      </c>
      <c r="H3" s="294" t="s">
        <v>9</v>
      </c>
      <c r="I3" s="294" t="s">
        <v>18</v>
      </c>
      <c r="J3" s="185" t="s">
        <v>55</v>
      </c>
      <c r="K3" s="294" t="s">
        <v>18</v>
      </c>
      <c r="L3" s="184" t="s">
        <v>55</v>
      </c>
      <c r="M3" s="295" t="s">
        <v>90</v>
      </c>
      <c r="N3" s="435" t="s">
        <v>5</v>
      </c>
      <c r="O3" s="437" t="s">
        <v>206</v>
      </c>
      <c r="P3" s="437" t="s">
        <v>377</v>
      </c>
      <c r="Q3" s="438" t="s">
        <v>379</v>
      </c>
      <c r="T3" s="393" t="s">
        <v>889</v>
      </c>
    </row>
    <row r="4" spans="1:20" ht="13.8" thickBot="1">
      <c r="A4" s="160" t="s">
        <v>17</v>
      </c>
      <c r="B4" s="161"/>
      <c r="C4" s="162"/>
      <c r="D4" s="163"/>
      <c r="E4" s="163"/>
      <c r="F4" s="186"/>
      <c r="G4" s="186"/>
      <c r="H4" s="187"/>
      <c r="I4" s="187"/>
      <c r="J4" s="188"/>
      <c r="K4" s="187"/>
      <c r="L4" s="186"/>
      <c r="M4" s="186"/>
      <c r="N4" s="436" t="s">
        <v>9</v>
      </c>
      <c r="O4" s="436"/>
      <c r="P4" s="436"/>
      <c r="Q4" s="439" t="s">
        <v>9</v>
      </c>
      <c r="T4" s="394" t="s">
        <v>890</v>
      </c>
    </row>
    <row r="5" spans="1:20">
      <c r="A5" s="31" t="s">
        <v>386</v>
      </c>
    </row>
    <row r="6" spans="1:20" ht="12">
      <c r="A6" s="141" t="s">
        <v>387</v>
      </c>
      <c r="B6" s="1" t="s">
        <v>204</v>
      </c>
      <c r="C6" s="1" t="s">
        <v>76</v>
      </c>
      <c r="D6" s="1" t="s">
        <v>389</v>
      </c>
      <c r="E6" s="1" t="s">
        <v>78</v>
      </c>
      <c r="F6" s="9">
        <v>50000000</v>
      </c>
      <c r="G6" s="9">
        <f>F6</f>
        <v>50000000</v>
      </c>
      <c r="H6" s="3">
        <v>43468</v>
      </c>
      <c r="I6" s="3">
        <v>43474</v>
      </c>
      <c r="J6" s="9">
        <f>G6</f>
        <v>50000000</v>
      </c>
      <c r="K6" s="3">
        <v>44560</v>
      </c>
      <c r="L6" s="9">
        <f>45000000+5000000</f>
        <v>50000000</v>
      </c>
      <c r="M6" s="9">
        <f>J6-L6</f>
        <v>0</v>
      </c>
      <c r="N6" s="3">
        <v>43713</v>
      </c>
      <c r="O6" s="13">
        <v>3</v>
      </c>
      <c r="P6" s="13">
        <v>264</v>
      </c>
      <c r="Q6" s="11">
        <v>43455</v>
      </c>
      <c r="R6" s="43" t="s">
        <v>814</v>
      </c>
    </row>
    <row r="7" spans="1:20" ht="12">
      <c r="A7" s="141" t="s">
        <v>388</v>
      </c>
      <c r="B7" s="1" t="s">
        <v>204</v>
      </c>
      <c r="C7" s="1" t="s">
        <v>76</v>
      </c>
      <c r="D7" s="1" t="s">
        <v>390</v>
      </c>
      <c r="E7" s="1" t="s">
        <v>78</v>
      </c>
      <c r="F7" s="9">
        <v>50000000</v>
      </c>
      <c r="G7" s="9">
        <f>F7</f>
        <v>50000000</v>
      </c>
      <c r="H7" s="3">
        <v>43468</v>
      </c>
      <c r="I7" s="3">
        <v>43474</v>
      </c>
      <c r="J7" s="9">
        <f>G7</f>
        <v>50000000</v>
      </c>
      <c r="K7" s="3">
        <v>44560</v>
      </c>
      <c r="L7" s="9">
        <v>50000000</v>
      </c>
      <c r="M7" s="9">
        <f t="shared" ref="M7:M11" si="0">J7-L7</f>
        <v>0</v>
      </c>
      <c r="N7" s="3">
        <v>43678</v>
      </c>
      <c r="O7" s="13">
        <v>3</v>
      </c>
      <c r="P7" s="13">
        <v>300</v>
      </c>
      <c r="Q7" s="11">
        <v>43455</v>
      </c>
    </row>
    <row r="8" spans="1:20" ht="12">
      <c r="A8" s="31"/>
      <c r="H8" s="211"/>
      <c r="I8" s="3"/>
      <c r="J8" s="128"/>
      <c r="K8" s="7"/>
      <c r="L8" s="128"/>
      <c r="M8" s="128"/>
      <c r="N8" s="7"/>
    </row>
    <row r="9" spans="1:20" ht="12">
      <c r="A9" s="31" t="s">
        <v>152</v>
      </c>
      <c r="H9" s="211"/>
      <c r="I9" s="3"/>
      <c r="J9" s="128"/>
      <c r="K9" s="7"/>
      <c r="L9" s="128"/>
      <c r="M9" s="128"/>
      <c r="N9" s="7"/>
    </row>
    <row r="10" spans="1:20" s="1" customFormat="1" ht="12">
      <c r="A10" s="141" t="s">
        <v>329</v>
      </c>
      <c r="B10" s="1" t="s">
        <v>204</v>
      </c>
      <c r="C10" s="1" t="s">
        <v>287</v>
      </c>
      <c r="D10" s="1" t="s">
        <v>288</v>
      </c>
      <c r="E10" s="1" t="s">
        <v>79</v>
      </c>
      <c r="F10" s="9">
        <v>45000000</v>
      </c>
      <c r="G10" s="9">
        <f>F10</f>
        <v>45000000</v>
      </c>
      <c r="H10" s="3">
        <v>43474</v>
      </c>
      <c r="I10" s="3">
        <v>43474</v>
      </c>
      <c r="J10" s="9">
        <f>G10</f>
        <v>45000000</v>
      </c>
      <c r="K10" s="3">
        <v>44560</v>
      </c>
      <c r="L10" s="9">
        <f>44999805.2+194.8</f>
        <v>45000000</v>
      </c>
      <c r="M10" s="85">
        <f t="shared" si="0"/>
        <v>0</v>
      </c>
      <c r="N10" s="3">
        <v>43783</v>
      </c>
      <c r="O10" s="13">
        <v>2</v>
      </c>
      <c r="P10" s="13">
        <v>240</v>
      </c>
      <c r="Q10" s="11">
        <v>43102</v>
      </c>
      <c r="R10" s="1" t="s">
        <v>860</v>
      </c>
    </row>
    <row r="11" spans="1:20" s="4" customFormat="1">
      <c r="A11" s="31" t="s">
        <v>330</v>
      </c>
      <c r="B11" s="4" t="s">
        <v>77</v>
      </c>
      <c r="C11" s="4" t="s">
        <v>98</v>
      </c>
      <c r="D11" s="4" t="s">
        <v>285</v>
      </c>
      <c r="E11" s="4" t="s">
        <v>79</v>
      </c>
      <c r="F11" s="128">
        <v>35000000</v>
      </c>
      <c r="G11" s="128">
        <f>F11</f>
        <v>35000000</v>
      </c>
      <c r="H11" s="7">
        <v>43474</v>
      </c>
      <c r="I11" s="7">
        <v>43474</v>
      </c>
      <c r="J11" s="128">
        <f>G11</f>
        <v>35000000</v>
      </c>
      <c r="K11" s="7">
        <v>44560</v>
      </c>
      <c r="L11" s="128">
        <v>0</v>
      </c>
      <c r="M11" s="128">
        <f t="shared" si="0"/>
        <v>35000000</v>
      </c>
      <c r="N11" s="7">
        <v>43474</v>
      </c>
      <c r="O11" s="5">
        <v>3</v>
      </c>
      <c r="P11" s="5">
        <v>273</v>
      </c>
      <c r="Q11" s="6">
        <v>43102</v>
      </c>
      <c r="T11" s="128">
        <f>M11</f>
        <v>35000000</v>
      </c>
    </row>
    <row r="12" spans="1:20" s="1" customFormat="1" ht="12">
      <c r="A12" s="141" t="s">
        <v>331</v>
      </c>
      <c r="B12" s="1" t="s">
        <v>203</v>
      </c>
      <c r="C12" s="1" t="s">
        <v>141</v>
      </c>
      <c r="D12" s="1" t="s">
        <v>194</v>
      </c>
      <c r="E12" s="1" t="s">
        <v>142</v>
      </c>
      <c r="F12" s="9">
        <v>0</v>
      </c>
      <c r="G12" s="9"/>
      <c r="H12" s="3"/>
      <c r="I12" s="3"/>
      <c r="J12" s="9"/>
      <c r="K12" s="3"/>
      <c r="L12" s="9"/>
      <c r="M12" s="9"/>
      <c r="O12" s="13"/>
      <c r="P12" s="13"/>
      <c r="Q12" s="11">
        <v>43102</v>
      </c>
    </row>
    <row r="13" spans="1:20" s="1" customFormat="1" ht="12">
      <c r="A13" s="141" t="s">
        <v>332</v>
      </c>
      <c r="B13" s="1" t="s">
        <v>203</v>
      </c>
      <c r="C13" s="1" t="s">
        <v>143</v>
      </c>
      <c r="D13" s="1" t="s">
        <v>182</v>
      </c>
      <c r="E13" s="1" t="s">
        <v>79</v>
      </c>
      <c r="F13" s="9">
        <v>0</v>
      </c>
      <c r="G13" s="9"/>
      <c r="H13" s="3"/>
      <c r="I13" s="7"/>
      <c r="J13" s="9"/>
      <c r="L13" s="9"/>
      <c r="M13" s="9"/>
      <c r="N13" s="3">
        <v>43481</v>
      </c>
      <c r="O13" s="13" t="s">
        <v>252</v>
      </c>
      <c r="P13" s="13">
        <v>225</v>
      </c>
      <c r="Q13" s="11">
        <v>43102</v>
      </c>
    </row>
    <row r="14" spans="1:20" s="1" customFormat="1" ht="12">
      <c r="A14" s="141" t="s">
        <v>333</v>
      </c>
      <c r="B14" s="1" t="s">
        <v>204</v>
      </c>
      <c r="C14" s="1" t="s">
        <v>287</v>
      </c>
      <c r="D14" s="1" t="s">
        <v>334</v>
      </c>
      <c r="E14" s="1" t="s">
        <v>79</v>
      </c>
      <c r="F14" s="9">
        <v>54000000</v>
      </c>
      <c r="G14" s="9">
        <v>22000000</v>
      </c>
      <c r="H14" s="3">
        <v>43487</v>
      </c>
      <c r="I14" s="3">
        <v>43488</v>
      </c>
      <c r="J14" s="9">
        <v>22000000</v>
      </c>
      <c r="K14" s="3">
        <v>44560</v>
      </c>
      <c r="L14" s="9">
        <v>22000000</v>
      </c>
      <c r="M14" s="9">
        <f>J14-L14</f>
        <v>0</v>
      </c>
      <c r="N14" s="3">
        <v>43788</v>
      </c>
      <c r="O14" s="13">
        <v>3</v>
      </c>
      <c r="P14" s="13">
        <v>300</v>
      </c>
      <c r="Q14" s="11">
        <v>43103</v>
      </c>
    </row>
    <row r="15" spans="1:20" s="1" customFormat="1" ht="12">
      <c r="A15" s="141" t="s">
        <v>343</v>
      </c>
      <c r="B15" s="1" t="s">
        <v>43</v>
      </c>
      <c r="C15" s="1" t="s">
        <v>321</v>
      </c>
      <c r="D15" s="1" t="s">
        <v>322</v>
      </c>
      <c r="E15" s="1" t="s">
        <v>95</v>
      </c>
      <c r="F15" s="9">
        <v>52000000</v>
      </c>
      <c r="G15" s="9"/>
      <c r="H15" s="3"/>
      <c r="J15" s="9"/>
      <c r="L15" s="9"/>
      <c r="M15" s="9"/>
      <c r="O15" s="13">
        <v>3</v>
      </c>
      <c r="P15" s="13">
        <v>303</v>
      </c>
      <c r="Q15" s="11">
        <v>43237</v>
      </c>
    </row>
    <row r="16" spans="1:20" s="1" customFormat="1" ht="12">
      <c r="A16" s="141" t="s">
        <v>346</v>
      </c>
      <c r="B16" s="1" t="s">
        <v>43</v>
      </c>
      <c r="C16" s="1" t="s">
        <v>98</v>
      </c>
      <c r="D16" s="1" t="s">
        <v>347</v>
      </c>
      <c r="E16" s="1" t="s">
        <v>79</v>
      </c>
      <c r="F16" s="9">
        <v>20000000</v>
      </c>
      <c r="G16" s="9"/>
      <c r="H16" s="3"/>
      <c r="J16" s="9"/>
      <c r="L16" s="9"/>
      <c r="M16" s="9"/>
      <c r="O16" s="13">
        <v>3</v>
      </c>
      <c r="P16" s="13">
        <v>164</v>
      </c>
      <c r="Q16" s="11">
        <v>43251</v>
      </c>
    </row>
    <row r="17" spans="1:20" s="1" customFormat="1" ht="12">
      <c r="A17" s="141" t="s">
        <v>350</v>
      </c>
      <c r="B17" s="1" t="s">
        <v>43</v>
      </c>
      <c r="C17" s="1" t="s">
        <v>98</v>
      </c>
      <c r="D17" s="1" t="s">
        <v>351</v>
      </c>
      <c r="E17" s="1" t="s">
        <v>79</v>
      </c>
      <c r="F17" s="9">
        <v>40000000</v>
      </c>
      <c r="G17" s="9"/>
      <c r="H17" s="3"/>
      <c r="J17" s="9"/>
      <c r="L17" s="9"/>
      <c r="M17" s="9"/>
      <c r="O17" s="13">
        <v>3</v>
      </c>
      <c r="P17" s="13">
        <v>263</v>
      </c>
      <c r="Q17" s="11">
        <v>43279</v>
      </c>
    </row>
    <row r="18" spans="1:20" s="1" customFormat="1" ht="12">
      <c r="A18" s="141"/>
      <c r="F18" s="9"/>
      <c r="G18" s="9"/>
      <c r="H18" s="3"/>
      <c r="J18" s="9"/>
      <c r="L18" s="9"/>
      <c r="M18" s="9"/>
    </row>
    <row r="19" spans="1:20" ht="12">
      <c r="A19" s="31" t="s">
        <v>91</v>
      </c>
      <c r="D19" s="1"/>
      <c r="H19" s="211"/>
    </row>
    <row r="21" spans="1:20" ht="12">
      <c r="F21" s="202">
        <f>SUM(F6:F20)</f>
        <v>346000000</v>
      </c>
      <c r="G21" s="202">
        <f>SUM(G6:G20)</f>
        <v>202000000</v>
      </c>
      <c r="H21" s="137"/>
      <c r="I21" s="137"/>
      <c r="J21" s="374">
        <f>SUM(J6:J20)</f>
        <v>202000000</v>
      </c>
      <c r="K21" s="137"/>
      <c r="L21" s="87">
        <f>SUM(L6:L20)</f>
        <v>167000000</v>
      </c>
      <c r="M21" s="87">
        <f>SUM(M6:M20)</f>
        <v>35000000</v>
      </c>
      <c r="T21" s="202">
        <f>SUM(T6:T19)</f>
        <v>35000000</v>
      </c>
    </row>
    <row r="23" spans="1:20" ht="12" thickBot="1">
      <c r="G23" s="430"/>
      <c r="N23" s="211"/>
    </row>
    <row r="24" spans="1:20" ht="12.6" thickBot="1">
      <c r="D24" s="204" t="s">
        <v>157</v>
      </c>
      <c r="E24" s="205"/>
      <c r="F24" s="208">
        <f>202000000-J21</f>
        <v>0</v>
      </c>
      <c r="G24" s="430"/>
      <c r="H24" s="275"/>
    </row>
    <row r="25" spans="1:20">
      <c r="F25" s="201"/>
      <c r="G25" s="430"/>
    </row>
    <row r="26" spans="1:20" ht="12" thickBot="1">
      <c r="F26" s="207"/>
    </row>
    <row r="27" spans="1:20" ht="13.2">
      <c r="A27" s="165"/>
      <c r="B27" s="165" t="s">
        <v>384</v>
      </c>
      <c r="C27" s="135"/>
      <c r="D27" s="135"/>
      <c r="E27" s="135"/>
      <c r="F27" s="189"/>
      <c r="G27" s="189"/>
      <c r="H27" s="189"/>
      <c r="I27" s="189"/>
      <c r="J27" s="189"/>
      <c r="K27" s="189"/>
      <c r="L27" s="189"/>
      <c r="M27" s="189"/>
      <c r="N27" s="299"/>
    </row>
    <row r="28" spans="1:20" ht="13.2">
      <c r="A28" s="159" t="s">
        <v>32</v>
      </c>
      <c r="B28" s="291" t="s">
        <v>37</v>
      </c>
      <c r="C28" s="292" t="s">
        <v>31</v>
      </c>
      <c r="D28" s="300" t="s">
        <v>49</v>
      </c>
      <c r="E28" s="300"/>
      <c r="F28" s="184" t="s">
        <v>84</v>
      </c>
      <c r="G28" s="184" t="s">
        <v>383</v>
      </c>
      <c r="H28" s="294" t="s">
        <v>383</v>
      </c>
      <c r="I28" s="294"/>
      <c r="J28" s="185"/>
      <c r="K28" s="294"/>
      <c r="L28" s="184" t="s">
        <v>88</v>
      </c>
      <c r="M28" s="295" t="s">
        <v>89</v>
      </c>
      <c r="N28" s="441" t="s">
        <v>22</v>
      </c>
    </row>
    <row r="29" spans="1:20" ht="13.2">
      <c r="A29" s="159" t="s">
        <v>48</v>
      </c>
      <c r="B29" s="297"/>
      <c r="C29" s="292"/>
      <c r="D29" s="300"/>
      <c r="E29" s="300"/>
      <c r="F29" s="184" t="s">
        <v>55</v>
      </c>
      <c r="G29" s="184" t="s">
        <v>55</v>
      </c>
      <c r="H29" s="294" t="s">
        <v>9</v>
      </c>
      <c r="I29" s="294"/>
      <c r="J29" s="185"/>
      <c r="K29" s="294" t="s">
        <v>18</v>
      </c>
      <c r="L29" s="184" t="s">
        <v>55</v>
      </c>
      <c r="M29" s="295" t="s">
        <v>90</v>
      </c>
      <c r="N29" s="441" t="s">
        <v>5</v>
      </c>
    </row>
    <row r="30" spans="1:20" ht="13.8" thickBot="1">
      <c r="A30" s="160" t="s">
        <v>17</v>
      </c>
      <c r="B30" s="161"/>
      <c r="C30" s="162"/>
      <c r="D30" s="164"/>
      <c r="E30" s="164"/>
      <c r="F30" s="186"/>
      <c r="G30" s="186"/>
      <c r="H30" s="187"/>
      <c r="I30" s="187"/>
      <c r="J30" s="190"/>
      <c r="K30" s="187"/>
      <c r="L30" s="186"/>
      <c r="M30" s="186"/>
      <c r="N30" s="442" t="s">
        <v>9</v>
      </c>
    </row>
    <row r="31" spans="1:20" s="1" customFormat="1" ht="12">
      <c r="A31" s="141" t="s">
        <v>385</v>
      </c>
      <c r="B31" s="1" t="s">
        <v>43</v>
      </c>
      <c r="C31" s="1" t="s">
        <v>76</v>
      </c>
      <c r="D31" s="1" t="s">
        <v>381</v>
      </c>
      <c r="F31" s="9">
        <v>200000000</v>
      </c>
      <c r="G31" s="9"/>
      <c r="H31" s="3"/>
      <c r="J31" s="9"/>
      <c r="L31" s="9"/>
      <c r="M31" s="9"/>
      <c r="O31" s="13"/>
      <c r="P31" s="13"/>
      <c r="Q31" s="11"/>
    </row>
    <row r="32" spans="1:20" s="1" customFormat="1" ht="12">
      <c r="A32" s="13"/>
      <c r="F32" s="9"/>
      <c r="G32" s="9"/>
      <c r="H32" s="3"/>
      <c r="J32" s="9"/>
      <c r="L32" s="9"/>
      <c r="M32" s="9"/>
      <c r="O32" s="13"/>
      <c r="P32" s="13"/>
      <c r="Q32" s="11"/>
    </row>
    <row r="33" spans="1:17" s="1" customFormat="1" ht="12">
      <c r="A33" s="13"/>
      <c r="F33" s="202">
        <f>SUM(F31:F32)</f>
        <v>200000000</v>
      </c>
      <c r="G33" s="202">
        <f>SUM(G31:G32)</f>
        <v>0</v>
      </c>
      <c r="H33" s="137"/>
      <c r="I33" s="137"/>
      <c r="J33" s="202">
        <f>SUM(J31:J32)</f>
        <v>0</v>
      </c>
      <c r="K33" s="137"/>
      <c r="L33" s="202">
        <f>SUM(L31:L32)</f>
        <v>0</v>
      </c>
      <c r="M33" s="202">
        <f>SUM(M31:M32)</f>
        <v>0</v>
      </c>
      <c r="O33" s="13"/>
      <c r="P33" s="13"/>
      <c r="Q33" s="11"/>
    </row>
    <row r="34" spans="1:17" s="1" customFormat="1" ht="12">
      <c r="A34" s="13"/>
      <c r="F34" s="65"/>
      <c r="G34" s="65"/>
      <c r="H34" s="137"/>
      <c r="I34" s="137"/>
      <c r="J34" s="65"/>
      <c r="K34" s="137"/>
      <c r="L34" s="65"/>
      <c r="M34" s="65"/>
      <c r="O34" s="13"/>
      <c r="P34" s="13"/>
      <c r="Q34" s="11"/>
    </row>
    <row r="35" spans="1:17" ht="12" thickBot="1"/>
    <row r="36" spans="1:17" ht="12.6" thickBot="1">
      <c r="D36" s="204" t="s">
        <v>382</v>
      </c>
      <c r="E36" s="205"/>
      <c r="F36" s="208">
        <f>IF(F21&gt;=F24, 0, F24-F21)</f>
        <v>0</v>
      </c>
    </row>
    <row r="38" spans="1:17" ht="12" thickBot="1"/>
    <row r="39" spans="1:17" ht="13.2">
      <c r="A39" s="165"/>
      <c r="B39" s="165" t="s">
        <v>380</v>
      </c>
      <c r="C39" s="135"/>
      <c r="D39" s="135"/>
      <c r="E39" s="135"/>
      <c r="F39" s="189"/>
      <c r="G39" s="189"/>
      <c r="H39" s="189"/>
      <c r="I39" s="189"/>
      <c r="J39" s="189"/>
      <c r="K39" s="189"/>
      <c r="L39" s="189"/>
      <c r="M39" s="189"/>
      <c r="N39" s="299"/>
    </row>
    <row r="40" spans="1:17" ht="13.2">
      <c r="A40" s="159" t="s">
        <v>32</v>
      </c>
      <c r="B40" s="291" t="s">
        <v>37</v>
      </c>
      <c r="C40" s="292" t="s">
        <v>31</v>
      </c>
      <c r="D40" s="300" t="s">
        <v>49</v>
      </c>
      <c r="E40" s="300" t="s">
        <v>45</v>
      </c>
      <c r="F40" s="184" t="s">
        <v>84</v>
      </c>
      <c r="G40" s="184" t="s">
        <v>54</v>
      </c>
      <c r="H40" s="294"/>
      <c r="I40" s="294" t="s">
        <v>34</v>
      </c>
      <c r="J40" s="185" t="s">
        <v>87</v>
      </c>
      <c r="K40" s="294"/>
      <c r="L40" s="184" t="s">
        <v>92</v>
      </c>
      <c r="M40" s="295" t="s">
        <v>89</v>
      </c>
      <c r="N40" s="296" t="s">
        <v>22</v>
      </c>
    </row>
    <row r="41" spans="1:17" ht="13.2">
      <c r="A41" s="159" t="s">
        <v>48</v>
      </c>
      <c r="B41" s="297"/>
      <c r="C41" s="292"/>
      <c r="D41" s="300"/>
      <c r="E41" s="300"/>
      <c r="F41" s="184" t="s">
        <v>55</v>
      </c>
      <c r="G41" s="184" t="s">
        <v>55</v>
      </c>
      <c r="H41" s="294" t="s">
        <v>9</v>
      </c>
      <c r="I41" s="294" t="s">
        <v>18</v>
      </c>
      <c r="J41" s="185" t="s">
        <v>55</v>
      </c>
      <c r="K41" s="294" t="s">
        <v>18</v>
      </c>
      <c r="L41" s="184" t="s">
        <v>55</v>
      </c>
      <c r="M41" s="295" t="s">
        <v>90</v>
      </c>
      <c r="N41" s="296" t="s">
        <v>5</v>
      </c>
    </row>
    <row r="42" spans="1:17" ht="13.8" thickBot="1">
      <c r="A42" s="160" t="s">
        <v>17</v>
      </c>
      <c r="B42" s="161"/>
      <c r="C42" s="162"/>
      <c r="D42" s="164"/>
      <c r="E42" s="164"/>
      <c r="F42" s="186"/>
      <c r="G42" s="186"/>
      <c r="H42" s="187"/>
      <c r="I42" s="187"/>
      <c r="J42" s="190"/>
      <c r="K42" s="187"/>
      <c r="L42" s="186"/>
      <c r="M42" s="191" t="s">
        <v>93</v>
      </c>
      <c r="N42" s="298" t="s">
        <v>9</v>
      </c>
    </row>
    <row r="43" spans="1:17">
      <c r="A43" s="168" t="s">
        <v>56</v>
      </c>
    </row>
    <row r="44" spans="1:17" ht="12">
      <c r="A44" s="43">
        <v>4902</v>
      </c>
      <c r="B44" s="43" t="s">
        <v>77</v>
      </c>
      <c r="C44" s="152" t="s">
        <v>76</v>
      </c>
      <c r="D44" s="152" t="s">
        <v>352</v>
      </c>
      <c r="E44" s="152" t="s">
        <v>155</v>
      </c>
      <c r="F44" s="9">
        <v>349237736</v>
      </c>
      <c r="G44" s="9">
        <v>349237736</v>
      </c>
      <c r="H44" s="3">
        <v>43309</v>
      </c>
      <c r="I44" s="158">
        <v>43344</v>
      </c>
      <c r="J44" s="9">
        <v>349237736</v>
      </c>
      <c r="K44" s="158">
        <v>43519</v>
      </c>
      <c r="L44" s="45">
        <f>100293488.95+210833049.65+38111197.4</f>
        <v>349237736</v>
      </c>
      <c r="M44" s="85">
        <f>J44-L44</f>
        <v>0</v>
      </c>
      <c r="N44" s="158">
        <v>43740</v>
      </c>
      <c r="O44" s="43" t="s">
        <v>707</v>
      </c>
      <c r="P44" s="43" t="s">
        <v>744</v>
      </c>
      <c r="Q44" s="43" t="s">
        <v>776</v>
      </c>
    </row>
    <row r="45" spans="1:17" ht="12">
      <c r="A45" s="43">
        <v>4907</v>
      </c>
      <c r="B45" s="43" t="s">
        <v>77</v>
      </c>
      <c r="C45" s="152" t="s">
        <v>375</v>
      </c>
      <c r="D45" s="152" t="s">
        <v>352</v>
      </c>
      <c r="E45" s="152" t="s">
        <v>78</v>
      </c>
      <c r="F45" s="9">
        <v>25000000</v>
      </c>
      <c r="G45" s="9">
        <v>25000000</v>
      </c>
      <c r="H45" s="3">
        <v>43316</v>
      </c>
      <c r="I45" s="158">
        <v>43351</v>
      </c>
      <c r="J45" s="9">
        <v>25000000</v>
      </c>
      <c r="K45" s="158">
        <v>43526</v>
      </c>
      <c r="L45" s="27">
        <v>25000000</v>
      </c>
      <c r="M45" s="9">
        <f>J45-L45</f>
        <v>0</v>
      </c>
      <c r="N45" s="158">
        <v>43819</v>
      </c>
      <c r="O45" s="43" t="s">
        <v>849</v>
      </c>
      <c r="P45" s="431"/>
      <c r="Q45" s="275"/>
    </row>
    <row r="46" spans="1:17" ht="12">
      <c r="A46" s="43">
        <v>4908</v>
      </c>
      <c r="B46" s="43" t="s">
        <v>77</v>
      </c>
      <c r="C46" s="152" t="s">
        <v>368</v>
      </c>
      <c r="D46" s="152" t="s">
        <v>106</v>
      </c>
      <c r="E46" s="152" t="s">
        <v>201</v>
      </c>
      <c r="F46" s="9">
        <v>2000000</v>
      </c>
      <c r="G46" s="9">
        <v>2000000</v>
      </c>
      <c r="H46" s="3">
        <v>43316</v>
      </c>
      <c r="I46" s="158">
        <v>43351</v>
      </c>
      <c r="J46" s="9">
        <v>2000000</v>
      </c>
      <c r="K46" s="158">
        <v>43526</v>
      </c>
      <c r="L46" s="27">
        <v>2000000</v>
      </c>
      <c r="M46" s="9">
        <f t="shared" ref="M46:M50" si="1">J46-L46</f>
        <v>0</v>
      </c>
      <c r="N46" s="158">
        <v>43819</v>
      </c>
      <c r="O46" s="43" t="s">
        <v>850</v>
      </c>
    </row>
    <row r="47" spans="1:17" ht="12">
      <c r="A47" s="43">
        <v>4909</v>
      </c>
      <c r="B47" s="43" t="s">
        <v>77</v>
      </c>
      <c r="C47" s="152" t="s">
        <v>373</v>
      </c>
      <c r="D47" s="152" t="s">
        <v>151</v>
      </c>
      <c r="E47" s="152" t="s">
        <v>355</v>
      </c>
      <c r="F47" s="9">
        <v>55217249</v>
      </c>
      <c r="G47" s="9">
        <v>55217249</v>
      </c>
      <c r="H47" s="3">
        <v>43316</v>
      </c>
      <c r="I47" s="158">
        <v>43351</v>
      </c>
      <c r="J47" s="9">
        <v>55217249</v>
      </c>
      <c r="K47" s="158">
        <v>43526</v>
      </c>
      <c r="L47" s="318">
        <v>55217249</v>
      </c>
      <c r="M47" s="9">
        <f t="shared" si="1"/>
        <v>0</v>
      </c>
      <c r="N47" s="158">
        <v>43819</v>
      </c>
      <c r="O47" s="43" t="s">
        <v>851</v>
      </c>
    </row>
    <row r="48" spans="1:17" ht="12">
      <c r="A48" s="43">
        <v>4910</v>
      </c>
      <c r="B48" s="43" t="s">
        <v>77</v>
      </c>
      <c r="C48" s="152" t="s">
        <v>369</v>
      </c>
      <c r="D48" s="152" t="s">
        <v>356</v>
      </c>
      <c r="E48" s="152" t="s">
        <v>357</v>
      </c>
      <c r="F48" s="9">
        <v>10000000</v>
      </c>
      <c r="G48" s="9">
        <v>10000000</v>
      </c>
      <c r="H48" s="3">
        <v>43316</v>
      </c>
      <c r="I48" s="158">
        <v>43351</v>
      </c>
      <c r="J48" s="9">
        <v>10000000</v>
      </c>
      <c r="K48" s="158">
        <v>43526</v>
      </c>
      <c r="L48" s="27">
        <v>10000000</v>
      </c>
      <c r="M48" s="9">
        <f t="shared" si="1"/>
        <v>0</v>
      </c>
      <c r="N48" s="158">
        <v>43819</v>
      </c>
      <c r="O48" s="43" t="s">
        <v>852</v>
      </c>
    </row>
    <row r="49" spans="1:20" ht="12">
      <c r="A49" s="43">
        <v>4911</v>
      </c>
      <c r="B49" s="43" t="s">
        <v>77</v>
      </c>
      <c r="C49" s="152" t="s">
        <v>371</v>
      </c>
      <c r="D49" s="152" t="s">
        <v>362</v>
      </c>
      <c r="E49" s="152" t="s">
        <v>361</v>
      </c>
      <c r="F49" s="9">
        <v>20000000</v>
      </c>
      <c r="G49" s="9">
        <v>20000000</v>
      </c>
      <c r="H49" s="3">
        <v>43316</v>
      </c>
      <c r="I49" s="158">
        <v>43351</v>
      </c>
      <c r="J49" s="9">
        <v>20000000</v>
      </c>
      <c r="K49" s="158">
        <v>43526</v>
      </c>
      <c r="L49" s="27">
        <v>20000000</v>
      </c>
      <c r="M49" s="9">
        <f t="shared" si="1"/>
        <v>0</v>
      </c>
      <c r="N49" s="158">
        <v>43819</v>
      </c>
      <c r="O49" s="43" t="s">
        <v>853</v>
      </c>
    </row>
    <row r="50" spans="1:20" ht="12">
      <c r="A50" s="43">
        <v>4912</v>
      </c>
      <c r="B50" s="43" t="s">
        <v>77</v>
      </c>
      <c r="C50" s="152" t="s">
        <v>374</v>
      </c>
      <c r="D50" s="152" t="s">
        <v>362</v>
      </c>
      <c r="E50" s="152" t="s">
        <v>363</v>
      </c>
      <c r="F50" s="9">
        <v>50000000</v>
      </c>
      <c r="G50" s="9">
        <v>50000000</v>
      </c>
      <c r="H50" s="3">
        <v>43316</v>
      </c>
      <c r="I50" s="158">
        <v>43351</v>
      </c>
      <c r="J50" s="9">
        <v>50000000</v>
      </c>
      <c r="K50" s="158">
        <v>43526</v>
      </c>
      <c r="L50" s="27">
        <f>158226943.65-SUM(L45:L49)</f>
        <v>46009694.650000006</v>
      </c>
      <c r="M50" s="85">
        <f t="shared" si="1"/>
        <v>3990305.349999994</v>
      </c>
      <c r="N50" s="158">
        <v>43819</v>
      </c>
      <c r="O50" s="43" t="s">
        <v>885</v>
      </c>
      <c r="T50" s="148">
        <f t="shared" ref="T50:T52" si="2">M50</f>
        <v>3990305.349999994</v>
      </c>
    </row>
    <row r="51" spans="1:20" ht="12">
      <c r="A51" s="43">
        <v>4913</v>
      </c>
      <c r="B51" s="43" t="s">
        <v>77</v>
      </c>
      <c r="C51" s="152" t="s">
        <v>370</v>
      </c>
      <c r="D51" s="152" t="s">
        <v>362</v>
      </c>
      <c r="E51" s="152" t="s">
        <v>198</v>
      </c>
      <c r="F51" s="9">
        <v>2000000</v>
      </c>
      <c r="G51" s="9">
        <v>2000000</v>
      </c>
      <c r="H51" s="3">
        <v>43316</v>
      </c>
      <c r="I51" s="158">
        <v>43351</v>
      </c>
      <c r="J51" s="9">
        <v>2000000</v>
      </c>
      <c r="K51" s="158">
        <v>43526</v>
      </c>
      <c r="L51" s="27"/>
      <c r="M51" s="9">
        <f t="shared" ref="M51:M54" si="3">J51</f>
        <v>2000000</v>
      </c>
      <c r="N51" s="158">
        <v>43488</v>
      </c>
      <c r="T51" s="148">
        <f t="shared" si="2"/>
        <v>2000000</v>
      </c>
    </row>
    <row r="52" spans="1:20" ht="12">
      <c r="A52" s="43">
        <v>4914</v>
      </c>
      <c r="B52" s="43" t="s">
        <v>77</v>
      </c>
      <c r="C52" s="152" t="s">
        <v>76</v>
      </c>
      <c r="D52" s="152" t="s">
        <v>364</v>
      </c>
      <c r="E52" s="152" t="s">
        <v>155</v>
      </c>
      <c r="F52" s="9">
        <v>179298351</v>
      </c>
      <c r="G52" s="9">
        <v>179298351</v>
      </c>
      <c r="H52" s="3">
        <v>43319</v>
      </c>
      <c r="I52" s="158">
        <v>43354</v>
      </c>
      <c r="J52" s="9">
        <v>179298351</v>
      </c>
      <c r="K52" s="158">
        <v>43529</v>
      </c>
      <c r="L52" s="27">
        <f>171064619.75</f>
        <v>171064619.75</v>
      </c>
      <c r="M52" s="85">
        <f>J52-L52</f>
        <v>8233731.25</v>
      </c>
      <c r="N52" s="158">
        <v>43740</v>
      </c>
      <c r="O52" s="43" t="s">
        <v>813</v>
      </c>
      <c r="T52" s="148">
        <f t="shared" si="2"/>
        <v>8233731.25</v>
      </c>
    </row>
    <row r="53" spans="1:20" ht="12">
      <c r="A53" s="43">
        <v>4915</v>
      </c>
      <c r="B53" s="43" t="s">
        <v>77</v>
      </c>
      <c r="C53" s="152" t="s">
        <v>153</v>
      </c>
      <c r="D53" s="152" t="s">
        <v>365</v>
      </c>
      <c r="E53" s="152" t="s">
        <v>155</v>
      </c>
      <c r="F53" s="9">
        <v>250000000</v>
      </c>
      <c r="G53" s="9">
        <v>250000000</v>
      </c>
      <c r="H53" s="3">
        <v>43319</v>
      </c>
      <c r="I53" s="158">
        <v>43354</v>
      </c>
      <c r="J53" s="9">
        <v>250000000</v>
      </c>
      <c r="K53" s="158">
        <v>43529</v>
      </c>
      <c r="L53" s="45">
        <f>62854526.95+187145473.05</f>
        <v>250000000</v>
      </c>
      <c r="M53" s="85">
        <f>J53-L53</f>
        <v>0</v>
      </c>
      <c r="N53" s="158">
        <v>43805</v>
      </c>
      <c r="O53" s="43" t="s">
        <v>699</v>
      </c>
      <c r="P53" s="43" t="s">
        <v>858</v>
      </c>
    </row>
    <row r="54" spans="1:20" s="408" customFormat="1" ht="12">
      <c r="A54" s="376">
        <v>4939</v>
      </c>
      <c r="B54" s="376" t="s">
        <v>204</v>
      </c>
      <c r="C54" s="377" t="s">
        <v>76</v>
      </c>
      <c r="D54" s="377" t="s">
        <v>364</v>
      </c>
      <c r="E54" s="377" t="s">
        <v>155</v>
      </c>
      <c r="F54" s="378">
        <v>300000000</v>
      </c>
      <c r="G54" s="378">
        <v>300000000</v>
      </c>
      <c r="H54" s="277">
        <v>43417</v>
      </c>
      <c r="I54" s="379">
        <v>43452</v>
      </c>
      <c r="J54" s="378">
        <v>0</v>
      </c>
      <c r="K54" s="379">
        <v>43627</v>
      </c>
      <c r="L54" s="410"/>
      <c r="M54" s="378">
        <f t="shared" si="3"/>
        <v>0</v>
      </c>
      <c r="N54" s="379">
        <v>43476</v>
      </c>
      <c r="O54" s="408" t="s">
        <v>633</v>
      </c>
    </row>
    <row r="55" spans="1:20" s="194" customFormat="1" ht="12">
      <c r="A55" s="48"/>
      <c r="B55" s="48"/>
      <c r="C55" s="301"/>
      <c r="D55" s="301"/>
      <c r="E55" s="301"/>
      <c r="F55" s="128"/>
      <c r="G55" s="128"/>
      <c r="H55" s="7"/>
      <c r="I55" s="192"/>
      <c r="J55" s="128"/>
      <c r="K55" s="192"/>
      <c r="L55" s="32"/>
      <c r="M55" s="128"/>
      <c r="N55" s="158"/>
    </row>
    <row r="56" spans="1:20" ht="12">
      <c r="A56" s="13"/>
      <c r="B56" s="13"/>
      <c r="C56" s="13"/>
      <c r="D56" s="13"/>
      <c r="E56" s="13"/>
      <c r="F56" s="318"/>
      <c r="G56" s="193"/>
      <c r="H56" s="193"/>
      <c r="I56" s="193"/>
      <c r="J56" s="193"/>
      <c r="K56" s="193"/>
      <c r="M56" s="215"/>
      <c r="N56" s="158"/>
    </row>
    <row r="57" spans="1:20" ht="12">
      <c r="F57" s="193"/>
      <c r="G57" s="193"/>
      <c r="H57" s="193"/>
      <c r="I57" s="193"/>
      <c r="J57" s="202">
        <f>SUM(J44:J56)</f>
        <v>942753336</v>
      </c>
      <c r="K57" s="375"/>
      <c r="L57" s="202">
        <f>SUM(L44:L56)</f>
        <v>928529299.39999998</v>
      </c>
      <c r="M57" s="202">
        <f>SUM(M44:M56)</f>
        <v>14224036.599999994</v>
      </c>
      <c r="N57" s="158"/>
      <c r="T57" s="202">
        <f>SUM(T44:T55)</f>
        <v>14224036.599999994</v>
      </c>
    </row>
    <row r="58" spans="1:20" ht="12">
      <c r="F58" s="193"/>
      <c r="G58" s="193"/>
      <c r="H58" s="321"/>
      <c r="I58" s="193"/>
      <c r="J58" s="193"/>
      <c r="K58" s="193"/>
      <c r="L58" s="404"/>
      <c r="N58" s="158"/>
    </row>
    <row r="59" spans="1:20" ht="12.6" thickBot="1">
      <c r="F59" s="193"/>
      <c r="G59" s="193"/>
      <c r="H59" s="321"/>
      <c r="I59" s="193"/>
      <c r="J59" s="193"/>
      <c r="K59" s="193"/>
      <c r="N59" s="158"/>
    </row>
    <row r="60" spans="1:20" ht="12">
      <c r="A60" s="175" t="s">
        <v>94</v>
      </c>
      <c r="F60" s="193"/>
      <c r="G60" s="196"/>
      <c r="H60" s="158"/>
      <c r="I60" s="193"/>
      <c r="J60" s="193"/>
      <c r="K60" s="321"/>
      <c r="N60" s="158"/>
      <c r="T60" s="128"/>
    </row>
    <row r="61" spans="1:20" ht="12">
      <c r="A61" s="43">
        <v>4895</v>
      </c>
      <c r="B61" s="43" t="s">
        <v>77</v>
      </c>
      <c r="C61" s="152" t="s">
        <v>172</v>
      </c>
      <c r="D61" s="152" t="s">
        <v>656</v>
      </c>
      <c r="E61" s="152" t="s">
        <v>80</v>
      </c>
      <c r="F61" s="9">
        <v>35000000</v>
      </c>
      <c r="G61" s="9">
        <v>35000000</v>
      </c>
      <c r="H61" s="3">
        <v>43300</v>
      </c>
      <c r="I61" s="158">
        <v>43335</v>
      </c>
      <c r="J61" s="9">
        <v>35000000</v>
      </c>
      <c r="K61" s="158">
        <v>44560</v>
      </c>
      <c r="L61" s="399">
        <v>35000000</v>
      </c>
      <c r="M61" s="359">
        <f>J61-L61</f>
        <v>0</v>
      </c>
      <c r="N61" s="407">
        <v>43783</v>
      </c>
      <c r="O61" s="589" t="s">
        <v>847</v>
      </c>
      <c r="T61" s="128">
        <f>M61+35000000</f>
        <v>35000000</v>
      </c>
    </row>
    <row r="62" spans="1:20" ht="12">
      <c r="A62" s="43">
        <v>4896</v>
      </c>
      <c r="B62" s="43" t="s">
        <v>204</v>
      </c>
      <c r="C62" s="152" t="s">
        <v>143</v>
      </c>
      <c r="D62" s="152" t="s">
        <v>280</v>
      </c>
      <c r="E62" s="152" t="s">
        <v>79</v>
      </c>
      <c r="F62" s="9">
        <v>9000000</v>
      </c>
      <c r="G62" s="9">
        <v>9000000</v>
      </c>
      <c r="H62" s="3">
        <v>43300</v>
      </c>
      <c r="I62" s="158">
        <v>43335</v>
      </c>
      <c r="J62" s="9">
        <v>9000000</v>
      </c>
      <c r="K62" s="158">
        <v>44560</v>
      </c>
      <c r="L62" s="404">
        <f>8999742.37+257.63</f>
        <v>9000000</v>
      </c>
      <c r="M62" s="85">
        <f t="shared" ref="M62:M67" si="4">J62-L62</f>
        <v>0</v>
      </c>
      <c r="N62" s="158">
        <v>43714</v>
      </c>
      <c r="O62" s="43" t="s">
        <v>701</v>
      </c>
      <c r="T62" s="128"/>
    </row>
    <row r="63" spans="1:20" ht="12">
      <c r="A63" s="43">
        <v>4897</v>
      </c>
      <c r="B63" s="43" t="s">
        <v>77</v>
      </c>
      <c r="C63" s="152" t="s">
        <v>98</v>
      </c>
      <c r="D63" s="152" t="s">
        <v>656</v>
      </c>
      <c r="E63" s="152" t="s">
        <v>79</v>
      </c>
      <c r="F63" s="9">
        <v>20000000</v>
      </c>
      <c r="G63" s="9">
        <v>20000000</v>
      </c>
      <c r="H63" s="3">
        <v>43308</v>
      </c>
      <c r="I63" s="158">
        <v>43343</v>
      </c>
      <c r="J63" s="9">
        <v>20000000</v>
      </c>
      <c r="K63" s="158">
        <v>44560</v>
      </c>
      <c r="L63" s="318">
        <v>20000000</v>
      </c>
      <c r="M63" s="9">
        <f t="shared" si="4"/>
        <v>0</v>
      </c>
      <c r="N63" s="158">
        <v>43679</v>
      </c>
      <c r="O63" s="43" t="s">
        <v>668</v>
      </c>
      <c r="T63" s="128"/>
    </row>
    <row r="64" spans="1:20" ht="12">
      <c r="A64" s="43">
        <v>4904</v>
      </c>
      <c r="B64" s="43" t="s">
        <v>204</v>
      </c>
      <c r="C64" s="152" t="s">
        <v>153</v>
      </c>
      <c r="D64" s="152" t="s">
        <v>341</v>
      </c>
      <c r="E64" s="152" t="s">
        <v>342</v>
      </c>
      <c r="F64" s="9">
        <v>35000000</v>
      </c>
      <c r="G64" s="9">
        <v>35000000</v>
      </c>
      <c r="H64" s="3">
        <v>43315</v>
      </c>
      <c r="I64" s="158">
        <v>43350</v>
      </c>
      <c r="J64" s="9">
        <v>35000000</v>
      </c>
      <c r="K64" s="158">
        <v>43495</v>
      </c>
      <c r="L64" s="318">
        <v>35000000</v>
      </c>
      <c r="M64" s="9">
        <f t="shared" si="4"/>
        <v>0</v>
      </c>
      <c r="N64" s="158">
        <v>43494</v>
      </c>
      <c r="O64" s="223"/>
      <c r="T64" s="128"/>
    </row>
    <row r="65" spans="1:20" ht="12">
      <c r="A65" s="43">
        <v>4903</v>
      </c>
      <c r="B65" s="43" t="s">
        <v>77</v>
      </c>
      <c r="C65" s="152" t="s">
        <v>172</v>
      </c>
      <c r="D65" s="152" t="s">
        <v>656</v>
      </c>
      <c r="E65" s="152" t="s">
        <v>312</v>
      </c>
      <c r="F65" s="9">
        <v>35000000</v>
      </c>
      <c r="G65" s="9">
        <v>35000000</v>
      </c>
      <c r="H65" s="3">
        <v>43313</v>
      </c>
      <c r="I65" s="158">
        <v>43348</v>
      </c>
      <c r="J65" s="9">
        <v>35000000</v>
      </c>
      <c r="K65" s="158">
        <v>44560</v>
      </c>
      <c r="L65" s="318">
        <v>28500000</v>
      </c>
      <c r="M65" s="9">
        <f t="shared" si="4"/>
        <v>6500000</v>
      </c>
      <c r="N65" s="158">
        <v>43502</v>
      </c>
      <c r="O65" s="43" t="s">
        <v>677</v>
      </c>
      <c r="T65" s="128">
        <f>M65</f>
        <v>6500000</v>
      </c>
    </row>
    <row r="66" spans="1:20" ht="12">
      <c r="A66" s="43">
        <v>4906</v>
      </c>
      <c r="B66" s="43" t="s">
        <v>77</v>
      </c>
      <c r="C66" s="152" t="s">
        <v>158</v>
      </c>
      <c r="D66" s="152" t="s">
        <v>656</v>
      </c>
      <c r="E66" s="152" t="s">
        <v>79</v>
      </c>
      <c r="F66" s="9">
        <v>50000000</v>
      </c>
      <c r="G66" s="9">
        <v>50000000</v>
      </c>
      <c r="H66" s="3">
        <v>43316</v>
      </c>
      <c r="I66" s="158">
        <v>43351</v>
      </c>
      <c r="J66" s="9">
        <v>50000000</v>
      </c>
      <c r="K66" s="158">
        <v>44560</v>
      </c>
      <c r="L66" s="27">
        <f>4000000+5000000+4000000+3000000</f>
        <v>16000000</v>
      </c>
      <c r="M66" s="9">
        <f t="shared" si="4"/>
        <v>34000000</v>
      </c>
      <c r="N66" s="158">
        <v>43813</v>
      </c>
      <c r="O66" s="43" t="s">
        <v>758</v>
      </c>
      <c r="P66" s="223"/>
      <c r="T66" s="128">
        <f>M66</f>
        <v>34000000</v>
      </c>
    </row>
    <row r="67" spans="1:20" ht="12">
      <c r="A67" s="43">
        <v>4916</v>
      </c>
      <c r="B67" s="43" t="s">
        <v>77</v>
      </c>
      <c r="C67" s="152" t="s">
        <v>153</v>
      </c>
      <c r="D67" s="152" t="s">
        <v>656</v>
      </c>
      <c r="E67" s="152" t="s">
        <v>79</v>
      </c>
      <c r="F67" s="9">
        <v>11000000</v>
      </c>
      <c r="G67" s="9">
        <v>11000000</v>
      </c>
      <c r="H67" s="3">
        <v>43320</v>
      </c>
      <c r="I67" s="158">
        <v>43355</v>
      </c>
      <c r="J67" s="9">
        <v>11000000</v>
      </c>
      <c r="K67" s="158">
        <v>44560</v>
      </c>
      <c r="L67" s="45">
        <f>10999163.7+836.3</f>
        <v>11000000</v>
      </c>
      <c r="M67" s="85">
        <f t="shared" si="4"/>
        <v>0</v>
      </c>
      <c r="N67" s="158">
        <v>43678</v>
      </c>
      <c r="O67" s="43" t="s">
        <v>762</v>
      </c>
      <c r="P67" s="43" t="s">
        <v>775</v>
      </c>
      <c r="T67" s="128"/>
    </row>
    <row r="68" spans="1:20" ht="12">
      <c r="A68" s="43">
        <v>4917</v>
      </c>
      <c r="B68" s="43" t="s">
        <v>77</v>
      </c>
      <c r="C68" s="152" t="s">
        <v>257</v>
      </c>
      <c r="D68" s="152" t="s">
        <v>656</v>
      </c>
      <c r="E68" s="152" t="s">
        <v>258</v>
      </c>
      <c r="F68" s="9">
        <v>15000000</v>
      </c>
      <c r="G68" s="9">
        <v>15000000</v>
      </c>
      <c r="H68" s="3">
        <v>43333</v>
      </c>
      <c r="I68" s="158">
        <v>43368</v>
      </c>
      <c r="J68" s="9">
        <v>15000000</v>
      </c>
      <c r="K68" s="158">
        <v>44560</v>
      </c>
      <c r="L68" s="412">
        <v>15000000</v>
      </c>
      <c r="M68" s="359">
        <f>J68-L68</f>
        <v>0</v>
      </c>
      <c r="N68" s="407">
        <v>43741</v>
      </c>
      <c r="O68" s="589" t="s">
        <v>821</v>
      </c>
      <c r="T68" s="128">
        <f>M68+15000000</f>
        <v>15000000</v>
      </c>
    </row>
    <row r="69" spans="1:20" ht="12">
      <c r="A69" s="43">
        <v>4919</v>
      </c>
      <c r="B69" s="43" t="s">
        <v>204</v>
      </c>
      <c r="C69" s="152" t="s">
        <v>98</v>
      </c>
      <c r="D69" s="152" t="s">
        <v>284</v>
      </c>
      <c r="E69" s="152" t="s">
        <v>79</v>
      </c>
      <c r="F69" s="9">
        <v>35000000</v>
      </c>
      <c r="G69" s="9">
        <v>35000000</v>
      </c>
      <c r="H69" s="3">
        <v>43334</v>
      </c>
      <c r="I69" s="158">
        <v>43369</v>
      </c>
      <c r="J69" s="9">
        <v>35000000</v>
      </c>
      <c r="K69" s="158">
        <v>43514</v>
      </c>
      <c r="L69" s="318">
        <v>35000000</v>
      </c>
      <c r="M69" s="9">
        <f t="shared" ref="M69:M74" si="5">J69-L69</f>
        <v>0</v>
      </c>
      <c r="N69" s="158">
        <v>43518</v>
      </c>
      <c r="T69" s="128"/>
    </row>
    <row r="70" spans="1:20" ht="12">
      <c r="A70" s="43">
        <v>4921</v>
      </c>
      <c r="B70" s="43" t="s">
        <v>77</v>
      </c>
      <c r="C70" s="152" t="s">
        <v>183</v>
      </c>
      <c r="D70" s="152" t="s">
        <v>656</v>
      </c>
      <c r="E70" s="152" t="s">
        <v>262</v>
      </c>
      <c r="F70" s="9">
        <v>30000000</v>
      </c>
      <c r="G70" s="9">
        <v>30000000</v>
      </c>
      <c r="H70" s="3">
        <v>43335</v>
      </c>
      <c r="I70" s="158">
        <v>43370</v>
      </c>
      <c r="J70" s="9">
        <v>30000000</v>
      </c>
      <c r="K70" s="158">
        <v>44560</v>
      </c>
      <c r="L70" s="27">
        <v>30000000</v>
      </c>
      <c r="M70" s="9">
        <f t="shared" si="5"/>
        <v>0</v>
      </c>
      <c r="N70" s="158">
        <v>43543</v>
      </c>
      <c r="O70" s="43" t="s">
        <v>675</v>
      </c>
      <c r="T70" s="128"/>
    </row>
    <row r="71" spans="1:20" ht="12">
      <c r="A71" s="43">
        <v>4922</v>
      </c>
      <c r="B71" s="43" t="s">
        <v>204</v>
      </c>
      <c r="C71" s="152" t="s">
        <v>276</v>
      </c>
      <c r="D71" s="152" t="s">
        <v>277</v>
      </c>
      <c r="E71" s="152" t="s">
        <v>80</v>
      </c>
      <c r="F71" s="9">
        <v>40000000</v>
      </c>
      <c r="G71" s="9">
        <v>40000000</v>
      </c>
      <c r="H71" s="3">
        <v>43335</v>
      </c>
      <c r="I71" s="158">
        <v>43370</v>
      </c>
      <c r="J71" s="9">
        <v>40000000</v>
      </c>
      <c r="K71" s="158">
        <v>43515</v>
      </c>
      <c r="L71" s="318">
        <v>40000000</v>
      </c>
      <c r="M71" s="9">
        <f t="shared" si="5"/>
        <v>0</v>
      </c>
      <c r="N71" s="158">
        <v>43516</v>
      </c>
      <c r="T71" s="128"/>
    </row>
    <row r="72" spans="1:20" ht="12">
      <c r="A72" s="43">
        <v>4923</v>
      </c>
      <c r="B72" s="43" t="s">
        <v>204</v>
      </c>
      <c r="C72" s="152" t="s">
        <v>188</v>
      </c>
      <c r="D72" s="152" t="s">
        <v>264</v>
      </c>
      <c r="E72" s="152" t="s">
        <v>265</v>
      </c>
      <c r="F72" s="9">
        <v>32500000</v>
      </c>
      <c r="G72" s="9">
        <v>32500000</v>
      </c>
      <c r="H72" s="3">
        <v>43336</v>
      </c>
      <c r="I72" s="158">
        <v>43371</v>
      </c>
      <c r="J72" s="9">
        <v>32500000</v>
      </c>
      <c r="K72" s="158">
        <v>43516</v>
      </c>
      <c r="L72" s="318">
        <v>32500000</v>
      </c>
      <c r="M72" s="9">
        <f t="shared" si="5"/>
        <v>0</v>
      </c>
      <c r="N72" s="158">
        <v>43497</v>
      </c>
      <c r="T72" s="128"/>
    </row>
    <row r="73" spans="1:20" ht="12">
      <c r="A73" s="43">
        <v>4924</v>
      </c>
      <c r="B73" s="43" t="s">
        <v>77</v>
      </c>
      <c r="C73" s="152" t="s">
        <v>183</v>
      </c>
      <c r="D73" s="152" t="s">
        <v>656</v>
      </c>
      <c r="E73" s="152" t="s">
        <v>184</v>
      </c>
      <c r="F73" s="9">
        <v>30000000</v>
      </c>
      <c r="G73" s="9">
        <v>30000000</v>
      </c>
      <c r="H73" s="3">
        <v>43336</v>
      </c>
      <c r="I73" s="158">
        <v>43371</v>
      </c>
      <c r="J73" s="9">
        <v>30000000</v>
      </c>
      <c r="K73" s="158">
        <v>44560</v>
      </c>
      <c r="L73" s="45">
        <f>9999681.45</f>
        <v>9999681.4499999993</v>
      </c>
      <c r="M73" s="85">
        <f t="shared" si="5"/>
        <v>20000318.550000001</v>
      </c>
      <c r="N73" s="158">
        <v>43543</v>
      </c>
      <c r="O73" s="43" t="s">
        <v>708</v>
      </c>
      <c r="T73" s="128">
        <f>M73</f>
        <v>20000318.550000001</v>
      </c>
    </row>
    <row r="74" spans="1:20" ht="12">
      <c r="A74" s="43">
        <v>4925</v>
      </c>
      <c r="B74" s="43" t="s">
        <v>204</v>
      </c>
      <c r="C74" s="152" t="s">
        <v>200</v>
      </c>
      <c r="D74" s="152" t="s">
        <v>266</v>
      </c>
      <c r="E74" s="152" t="s">
        <v>201</v>
      </c>
      <c r="F74" s="9">
        <v>38000000</v>
      </c>
      <c r="G74" s="9">
        <v>38000000</v>
      </c>
      <c r="H74" s="3">
        <v>43337</v>
      </c>
      <c r="I74" s="158">
        <v>43372</v>
      </c>
      <c r="J74" s="9">
        <v>38000000</v>
      </c>
      <c r="K74" s="158">
        <v>43517</v>
      </c>
      <c r="L74" s="318">
        <v>38000000</v>
      </c>
      <c r="M74" s="9">
        <f t="shared" si="5"/>
        <v>0</v>
      </c>
      <c r="N74" s="158">
        <v>43518</v>
      </c>
      <c r="T74" s="128"/>
    </row>
    <row r="75" spans="1:20" ht="12">
      <c r="A75" s="43">
        <v>4926</v>
      </c>
      <c r="B75" s="43" t="s">
        <v>77</v>
      </c>
      <c r="C75" s="152" t="s">
        <v>267</v>
      </c>
      <c r="D75" s="152" t="s">
        <v>656</v>
      </c>
      <c r="E75" s="152" t="s">
        <v>268</v>
      </c>
      <c r="F75" s="9">
        <v>35000000</v>
      </c>
      <c r="G75" s="9">
        <v>35000000</v>
      </c>
      <c r="H75" s="3">
        <v>43342</v>
      </c>
      <c r="I75" s="158">
        <v>43377</v>
      </c>
      <c r="J75" s="9">
        <v>35000000</v>
      </c>
      <c r="K75" s="158">
        <v>44560</v>
      </c>
      <c r="L75" s="399">
        <v>35000000</v>
      </c>
      <c r="M75" s="359">
        <f>J75-L75</f>
        <v>0</v>
      </c>
      <c r="N75" s="407">
        <v>43761</v>
      </c>
      <c r="O75" s="589" t="s">
        <v>834</v>
      </c>
      <c r="T75" s="128">
        <f>M75+35000000</f>
        <v>35000000</v>
      </c>
    </row>
    <row r="76" spans="1:20" ht="12">
      <c r="A76" s="43">
        <v>4927</v>
      </c>
      <c r="B76" s="43" t="s">
        <v>204</v>
      </c>
      <c r="C76" s="152" t="s">
        <v>463</v>
      </c>
      <c r="D76" s="152" t="s">
        <v>278</v>
      </c>
      <c r="E76" s="152" t="s">
        <v>275</v>
      </c>
      <c r="F76" s="9">
        <v>30000000</v>
      </c>
      <c r="G76" s="9">
        <v>30000000</v>
      </c>
      <c r="H76" s="3">
        <v>43342</v>
      </c>
      <c r="I76" s="158">
        <v>43377</v>
      </c>
      <c r="J76" s="9">
        <v>30000000</v>
      </c>
      <c r="K76" s="158">
        <v>43522</v>
      </c>
      <c r="L76" s="412">
        <f>26000000+4000000</f>
        <v>30000000</v>
      </c>
      <c r="M76" s="359">
        <f>J76-L76</f>
        <v>0</v>
      </c>
      <c r="N76" s="407">
        <v>43698</v>
      </c>
      <c r="O76" s="589" t="s">
        <v>805</v>
      </c>
      <c r="T76" s="128">
        <f>M76+4000000</f>
        <v>4000000</v>
      </c>
    </row>
    <row r="77" spans="1:20" ht="12">
      <c r="A77" s="43">
        <v>4928</v>
      </c>
      <c r="B77" s="43" t="s">
        <v>204</v>
      </c>
      <c r="C77" s="152" t="s">
        <v>166</v>
      </c>
      <c r="D77" s="152" t="s">
        <v>295</v>
      </c>
      <c r="E77" s="152" t="s">
        <v>82</v>
      </c>
      <c r="F77" s="9">
        <v>16000000</v>
      </c>
      <c r="G77" s="9">
        <v>16000000</v>
      </c>
      <c r="H77" s="3">
        <v>43348</v>
      </c>
      <c r="I77" s="158">
        <v>43383</v>
      </c>
      <c r="J77" s="9">
        <v>16000000</v>
      </c>
      <c r="K77" s="158">
        <v>43528</v>
      </c>
      <c r="L77" s="318">
        <v>16000000</v>
      </c>
      <c r="M77" s="9">
        <f>J77-L77</f>
        <v>0</v>
      </c>
      <c r="N77" s="158">
        <v>43533</v>
      </c>
      <c r="T77" s="128"/>
    </row>
    <row r="78" spans="1:20" s="408" customFormat="1" ht="12">
      <c r="A78" s="376">
        <v>4930</v>
      </c>
      <c r="B78" s="376" t="s">
        <v>77</v>
      </c>
      <c r="C78" s="377" t="s">
        <v>144</v>
      </c>
      <c r="D78" s="377" t="s">
        <v>372</v>
      </c>
      <c r="E78" s="377" t="s">
        <v>82</v>
      </c>
      <c r="F78" s="502">
        <v>49544835.789999999</v>
      </c>
      <c r="G78" s="502">
        <v>49544835.789999999</v>
      </c>
      <c r="H78" s="277">
        <v>43350</v>
      </c>
      <c r="I78" s="379">
        <v>43385</v>
      </c>
      <c r="J78" s="502">
        <v>0</v>
      </c>
      <c r="K78" s="379">
        <v>43530</v>
      </c>
      <c r="L78" s="410"/>
      <c r="M78" s="502">
        <f>J78</f>
        <v>0</v>
      </c>
      <c r="N78" s="379">
        <v>43490</v>
      </c>
      <c r="O78" s="408" t="s">
        <v>662</v>
      </c>
      <c r="T78" s="128"/>
    </row>
    <row r="79" spans="1:20" ht="12">
      <c r="A79" s="43">
        <v>4931</v>
      </c>
      <c r="B79" s="43" t="s">
        <v>204</v>
      </c>
      <c r="C79" s="152" t="s">
        <v>254</v>
      </c>
      <c r="D79" s="152" t="s">
        <v>256</v>
      </c>
      <c r="E79" s="152" t="s">
        <v>255</v>
      </c>
      <c r="F79" s="9">
        <v>18000000</v>
      </c>
      <c r="G79" s="9">
        <v>18000000</v>
      </c>
      <c r="H79" s="3">
        <v>43354</v>
      </c>
      <c r="I79" s="158">
        <v>43389</v>
      </c>
      <c r="J79" s="9">
        <v>18000000</v>
      </c>
      <c r="K79" s="158">
        <v>43534</v>
      </c>
      <c r="L79" s="318">
        <v>18000000</v>
      </c>
      <c r="M79" s="9">
        <f>J79-L79</f>
        <v>0</v>
      </c>
      <c r="N79" s="158">
        <v>43533</v>
      </c>
      <c r="T79" s="128"/>
    </row>
    <row r="80" spans="1:20" ht="12">
      <c r="A80" s="43">
        <v>4932</v>
      </c>
      <c r="B80" s="43" t="s">
        <v>204</v>
      </c>
      <c r="C80" s="152" t="s">
        <v>143</v>
      </c>
      <c r="D80" s="152" t="s">
        <v>286</v>
      </c>
      <c r="E80" s="152" t="s">
        <v>79</v>
      </c>
      <c r="F80" s="9">
        <v>30000000</v>
      </c>
      <c r="G80" s="9">
        <v>30000000</v>
      </c>
      <c r="H80" s="3">
        <v>43354</v>
      </c>
      <c r="I80" s="158">
        <v>43389</v>
      </c>
      <c r="J80" s="9">
        <v>30000000</v>
      </c>
      <c r="K80" s="158">
        <v>43534</v>
      </c>
      <c r="L80" s="318">
        <v>30000000</v>
      </c>
      <c r="M80" s="9">
        <v>0</v>
      </c>
      <c r="N80" s="158">
        <v>43537</v>
      </c>
      <c r="T80" s="128"/>
    </row>
    <row r="81" spans="1:20" ht="12">
      <c r="A81" s="43">
        <v>4933</v>
      </c>
      <c r="B81" s="43" t="s">
        <v>77</v>
      </c>
      <c r="C81" s="152" t="s">
        <v>98</v>
      </c>
      <c r="D81" s="152" t="s">
        <v>656</v>
      </c>
      <c r="E81" s="152" t="s">
        <v>180</v>
      </c>
      <c r="F81" s="9">
        <v>50000000</v>
      </c>
      <c r="G81" s="9">
        <v>50000000</v>
      </c>
      <c r="H81" s="3">
        <v>43358</v>
      </c>
      <c r="I81" s="158">
        <v>43393</v>
      </c>
      <c r="J81" s="9">
        <v>50000000</v>
      </c>
      <c r="K81" s="158">
        <v>44560</v>
      </c>
      <c r="L81" s="412">
        <f>4200000+7000000+38800000</f>
        <v>50000000</v>
      </c>
      <c r="M81" s="359">
        <f>J81-L81</f>
        <v>0</v>
      </c>
      <c r="N81" s="407">
        <v>43761</v>
      </c>
      <c r="O81" s="43" t="s">
        <v>792</v>
      </c>
      <c r="P81" s="43" t="s">
        <v>695</v>
      </c>
      <c r="Q81" s="589" t="s">
        <v>839</v>
      </c>
      <c r="T81" s="128">
        <f>M81+38800000</f>
        <v>38800000</v>
      </c>
    </row>
    <row r="82" spans="1:20" ht="12">
      <c r="A82" s="43">
        <v>4934</v>
      </c>
      <c r="B82" s="43" t="s">
        <v>204</v>
      </c>
      <c r="C82" s="152" t="s">
        <v>143</v>
      </c>
      <c r="D82" s="152" t="s">
        <v>289</v>
      </c>
      <c r="E82" s="152" t="s">
        <v>79</v>
      </c>
      <c r="F82" s="9">
        <v>40000000</v>
      </c>
      <c r="G82" s="9">
        <v>40000000</v>
      </c>
      <c r="H82" s="3">
        <v>43371</v>
      </c>
      <c r="I82" s="158">
        <v>43406</v>
      </c>
      <c r="J82" s="9">
        <v>40000000</v>
      </c>
      <c r="K82" s="158">
        <v>43551</v>
      </c>
      <c r="L82" s="318">
        <v>40000000</v>
      </c>
      <c r="M82" s="9">
        <f>J82-L82</f>
        <v>0</v>
      </c>
      <c r="N82" s="158">
        <v>43552</v>
      </c>
      <c r="O82" s="408"/>
      <c r="T82" s="128"/>
    </row>
    <row r="83" spans="1:20" s="398" customFormat="1" ht="12">
      <c r="A83" s="376">
        <v>4936</v>
      </c>
      <c r="B83" s="376" t="s">
        <v>77</v>
      </c>
      <c r="C83" s="377" t="s">
        <v>156</v>
      </c>
      <c r="D83" s="377" t="s">
        <v>303</v>
      </c>
      <c r="E83" s="377" t="s">
        <v>81</v>
      </c>
      <c r="F83" s="378">
        <v>35000000</v>
      </c>
      <c r="G83" s="378">
        <v>35000000</v>
      </c>
      <c r="H83" s="277">
        <v>43413</v>
      </c>
      <c r="I83" s="379">
        <v>43448</v>
      </c>
      <c r="J83" s="378">
        <v>0</v>
      </c>
      <c r="K83" s="379">
        <v>43593</v>
      </c>
      <c r="L83" s="507"/>
      <c r="M83" s="378">
        <v>0</v>
      </c>
      <c r="N83" s="379">
        <v>43593</v>
      </c>
      <c r="O83" s="408" t="s">
        <v>727</v>
      </c>
      <c r="T83" s="128"/>
    </row>
    <row r="84" spans="1:20" s="398" customFormat="1" ht="12">
      <c r="A84" s="376">
        <v>4937</v>
      </c>
      <c r="B84" s="376" t="s">
        <v>77</v>
      </c>
      <c r="C84" s="377" t="s">
        <v>348</v>
      </c>
      <c r="D84" s="377" t="s">
        <v>349</v>
      </c>
      <c r="E84" s="377" t="s">
        <v>176</v>
      </c>
      <c r="F84" s="378">
        <v>14000000</v>
      </c>
      <c r="G84" s="378">
        <v>14000000</v>
      </c>
      <c r="H84" s="277">
        <v>43413</v>
      </c>
      <c r="I84" s="379">
        <v>43448</v>
      </c>
      <c r="J84" s="378">
        <v>0</v>
      </c>
      <c r="K84" s="379">
        <v>43593</v>
      </c>
      <c r="L84" s="410"/>
      <c r="M84" s="378">
        <v>0</v>
      </c>
      <c r="N84" s="379">
        <v>43593</v>
      </c>
      <c r="O84" s="408" t="s">
        <v>728</v>
      </c>
      <c r="T84" s="128"/>
    </row>
    <row r="85" spans="1:20" s="194" customFormat="1" ht="12">
      <c r="A85" s="13"/>
      <c r="B85" s="13"/>
      <c r="C85" s="13"/>
      <c r="D85" s="13"/>
      <c r="E85" s="13"/>
      <c r="F85" s="318"/>
      <c r="G85" s="128"/>
      <c r="H85" s="7"/>
      <c r="I85" s="192"/>
      <c r="J85" s="128"/>
      <c r="K85" s="192"/>
      <c r="L85" s="32"/>
      <c r="M85" s="128"/>
      <c r="N85" s="192"/>
    </row>
    <row r="86" spans="1:20" ht="12">
      <c r="A86" s="13"/>
      <c r="B86" s="13"/>
      <c r="C86" s="13"/>
      <c r="D86" s="13"/>
      <c r="E86" s="13"/>
      <c r="F86" s="318"/>
      <c r="G86" s="73"/>
      <c r="H86" s="3"/>
      <c r="I86" s="3"/>
      <c r="J86" s="79">
        <f>SUM(J61:J85)</f>
        <v>634500000</v>
      </c>
      <c r="K86" s="7"/>
      <c r="L86" s="79">
        <f>SUM(L61:L85)</f>
        <v>573999681.45000005</v>
      </c>
      <c r="M86" s="79">
        <f>SUM(M61:M85)</f>
        <v>60500318.549999997</v>
      </c>
      <c r="N86" s="158"/>
      <c r="T86" s="79">
        <f>SUM(T60:T85)</f>
        <v>188300318.55000001</v>
      </c>
    </row>
    <row r="87" spans="1:20" ht="12.6" thickBot="1">
      <c r="F87" s="193"/>
      <c r="G87" s="193"/>
      <c r="H87" s="193"/>
      <c r="I87" s="193"/>
      <c r="J87" s="193"/>
      <c r="K87" s="321"/>
      <c r="M87" s="201"/>
      <c r="N87" s="158"/>
    </row>
    <row r="88" spans="1:20" ht="12">
      <c r="A88" s="175" t="s">
        <v>60</v>
      </c>
      <c r="F88" s="193"/>
      <c r="G88" s="196"/>
      <c r="H88" s="158"/>
      <c r="I88" s="193"/>
      <c r="J88" s="193"/>
      <c r="K88" s="193"/>
      <c r="N88" s="158"/>
    </row>
    <row r="89" spans="1:20" ht="12">
      <c r="A89" s="43">
        <v>4940</v>
      </c>
      <c r="B89" s="43" t="s">
        <v>77</v>
      </c>
      <c r="C89" s="152" t="s">
        <v>538</v>
      </c>
      <c r="D89" s="43" t="s">
        <v>856</v>
      </c>
      <c r="E89" s="43" t="s">
        <v>315</v>
      </c>
      <c r="F89" s="503">
        <v>94065843.159999996</v>
      </c>
      <c r="G89" s="84">
        <v>94065843.159999996</v>
      </c>
      <c r="H89" s="327">
        <v>43417</v>
      </c>
      <c r="I89" s="158">
        <v>43452</v>
      </c>
      <c r="J89" s="504">
        <v>94065843.159999996</v>
      </c>
      <c r="K89" s="327">
        <v>43567</v>
      </c>
      <c r="L89" s="153">
        <v>16000000</v>
      </c>
      <c r="M89" s="78">
        <f>J89-L89</f>
        <v>78065843.159999996</v>
      </c>
      <c r="N89" s="158">
        <v>43825</v>
      </c>
      <c r="O89" s="43" t="s">
        <v>855</v>
      </c>
      <c r="T89" s="128">
        <f>M89</f>
        <v>78065843.159999996</v>
      </c>
    </row>
    <row r="90" spans="1:20" ht="12">
      <c r="N90" s="158"/>
    </row>
    <row r="91" spans="1:20" ht="12">
      <c r="I91" s="207"/>
      <c r="J91" s="400">
        <f>SUM(J89:J90)</f>
        <v>94065843.159999996</v>
      </c>
      <c r="K91" s="194"/>
      <c r="L91" s="79">
        <f>SUM(L89:L90)</f>
        <v>16000000</v>
      </c>
      <c r="M91" s="79">
        <f>SUM(M89:M90)</f>
        <v>78065843.159999996</v>
      </c>
      <c r="N91" s="158"/>
      <c r="T91" s="79">
        <f>SUM(T89:T90)</f>
        <v>78065843.159999996</v>
      </c>
    </row>
    <row r="92" spans="1:20" ht="12">
      <c r="I92" s="207"/>
      <c r="N92" s="158"/>
    </row>
    <row r="93" spans="1:20">
      <c r="G93" s="287"/>
    </row>
    <row r="94" spans="1:20" ht="12.6" thickBot="1">
      <c r="G94" s="287"/>
      <c r="J94" s="396">
        <f>J21+J57+J86+J91+J33</f>
        <v>1873319179.1600001</v>
      </c>
      <c r="M94" s="401">
        <f>M91+M86+M57+M21+M33</f>
        <v>187790198.30999997</v>
      </c>
      <c r="O94" s="282"/>
      <c r="P94" s="282"/>
      <c r="Q94" s="282"/>
      <c r="R94" s="282"/>
      <c r="T94" s="596">
        <f>T91+T86+T57+T21</f>
        <v>315590198.31</v>
      </c>
    </row>
    <row r="95" spans="1:20" ht="12" thickTop="1">
      <c r="M95" s="207"/>
    </row>
    <row r="96" spans="1:20">
      <c r="K96" s="211"/>
    </row>
    <row r="97" spans="7:11">
      <c r="G97" s="211"/>
      <c r="K97" s="211"/>
    </row>
    <row r="98" spans="7:11">
      <c r="G98" s="211"/>
    </row>
    <row r="99" spans="7:11">
      <c r="G99" s="211"/>
    </row>
    <row r="100" spans="7:11">
      <c r="G100" s="211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106"/>
  <sheetViews>
    <sheetView workbookViewId="0">
      <pane xSplit="1" ySplit="2" topLeftCell="B3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9" defaultRowHeight="11.4"/>
  <cols>
    <col min="1" max="1" width="24" bestFit="1" customWidth="1"/>
    <col min="2" max="4" width="24" customWidth="1"/>
    <col min="5" max="5" width="18" customWidth="1"/>
    <col min="6" max="6" width="15.125" bestFit="1" customWidth="1"/>
    <col min="7" max="7" width="15.125" customWidth="1"/>
    <col min="8" max="9" width="15.625" bestFit="1" customWidth="1"/>
    <col min="10" max="12" width="14.625" bestFit="1" customWidth="1"/>
    <col min="13" max="15" width="17.375" bestFit="1" customWidth="1"/>
    <col min="16" max="17" width="15.125" bestFit="1" customWidth="1"/>
    <col min="18" max="18" width="14.625" bestFit="1" customWidth="1"/>
    <col min="19" max="24" width="12.875" bestFit="1" customWidth="1"/>
  </cols>
  <sheetData>
    <row r="1" spans="1:24">
      <c r="B1" s="5">
        <v>2023</v>
      </c>
      <c r="C1" s="5">
        <v>2022</v>
      </c>
      <c r="D1" s="5">
        <v>2021</v>
      </c>
      <c r="E1" s="5">
        <v>2020</v>
      </c>
      <c r="F1" s="5">
        <v>2019</v>
      </c>
      <c r="G1" s="5">
        <v>2018</v>
      </c>
      <c r="H1" s="5">
        <v>2017</v>
      </c>
      <c r="I1" s="5">
        <v>2016</v>
      </c>
      <c r="J1" s="5">
        <v>2015</v>
      </c>
      <c r="K1" s="5">
        <v>2014</v>
      </c>
      <c r="L1" s="5">
        <v>2013</v>
      </c>
      <c r="M1" s="5">
        <v>2012</v>
      </c>
      <c r="N1" s="5">
        <v>2011</v>
      </c>
      <c r="O1" s="5">
        <v>2010</v>
      </c>
      <c r="P1" s="225">
        <v>2009</v>
      </c>
      <c r="Q1" s="225">
        <v>2008</v>
      </c>
      <c r="R1" s="225">
        <v>2007</v>
      </c>
      <c r="S1" s="225">
        <v>2006</v>
      </c>
      <c r="T1" s="225">
        <v>2005</v>
      </c>
      <c r="U1" s="225">
        <v>2004</v>
      </c>
      <c r="V1" s="225">
        <v>2003</v>
      </c>
      <c r="W1" s="225" t="s">
        <v>129</v>
      </c>
      <c r="X1" s="225" t="s">
        <v>130</v>
      </c>
    </row>
    <row r="2" spans="1:24" ht="12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226" t="s">
        <v>99</v>
      </c>
      <c r="Q2" s="226" t="s">
        <v>99</v>
      </c>
      <c r="R2" s="71" t="s">
        <v>99</v>
      </c>
      <c r="S2" s="226" t="s">
        <v>99</v>
      </c>
      <c r="T2" s="226" t="s">
        <v>99</v>
      </c>
      <c r="U2" s="226" t="s">
        <v>99</v>
      </c>
      <c r="V2" s="226" t="s">
        <v>99</v>
      </c>
    </row>
    <row r="3" spans="1:24" ht="12">
      <c r="A3" s="227" t="s">
        <v>100</v>
      </c>
      <c r="B3" s="228">
        <f>Totals!B8</f>
        <v>3603548640</v>
      </c>
      <c r="C3" s="228">
        <v>3248073510</v>
      </c>
      <c r="D3" s="228">
        <v>3229683490</v>
      </c>
      <c r="E3" s="228">
        <v>3044567505</v>
      </c>
      <c r="F3" s="228">
        <v>3013693725</v>
      </c>
      <c r="G3" s="228">
        <v>2971982580</v>
      </c>
      <c r="H3" s="228">
        <v>2786259600</v>
      </c>
      <c r="I3" s="229">
        <v>2746911400</v>
      </c>
      <c r="J3" s="229">
        <v>2695695800</v>
      </c>
      <c r="K3" s="230">
        <v>2644819300</v>
      </c>
      <c r="L3" s="229">
        <v>2475624285</v>
      </c>
      <c r="M3" s="231">
        <v>2439094695</v>
      </c>
      <c r="N3" s="231">
        <v>2388828295</v>
      </c>
      <c r="O3" s="232">
        <v>2230407180</v>
      </c>
      <c r="P3" s="228">
        <v>2189427660</v>
      </c>
      <c r="Q3" s="228">
        <v>2031872300</v>
      </c>
      <c r="R3" s="233">
        <v>1998161555</v>
      </c>
      <c r="S3" s="133">
        <v>1828797440</v>
      </c>
      <c r="T3" s="234">
        <v>1799201760</v>
      </c>
      <c r="U3" s="234">
        <v>1769480721</v>
      </c>
      <c r="V3" s="235">
        <v>1633491975</v>
      </c>
      <c r="W3" s="133">
        <v>1599376350</v>
      </c>
      <c r="X3" s="236">
        <v>1303238750</v>
      </c>
    </row>
    <row r="4" spans="1:24" ht="12">
      <c r="A4" s="237" t="s">
        <v>101</v>
      </c>
      <c r="B4" s="99">
        <f>SUM(C47:C50)</f>
        <v>2700914810.6500001</v>
      </c>
      <c r="C4" s="99">
        <v>2686322327.4000001</v>
      </c>
      <c r="D4" s="99">
        <v>2978059429.2000003</v>
      </c>
      <c r="E4" s="99">
        <v>3375990905.0444999</v>
      </c>
      <c r="F4" s="99">
        <v>3859636297.79</v>
      </c>
      <c r="G4" s="99">
        <v>3309406951.9200001</v>
      </c>
      <c r="H4" s="99">
        <v>4848200159.04</v>
      </c>
      <c r="I4" s="99">
        <v>3814503629.1999998</v>
      </c>
      <c r="J4" s="285">
        <v>3765710513</v>
      </c>
      <c r="K4" s="99">
        <v>2632133224.8000002</v>
      </c>
      <c r="L4" s="99">
        <v>2242234046.5999999</v>
      </c>
      <c r="M4" s="286">
        <v>2951305638.4499998</v>
      </c>
      <c r="N4" s="286">
        <v>3300803953.3000002</v>
      </c>
      <c r="O4" s="287">
        <v>3176726243.5500002</v>
      </c>
      <c r="P4" s="99">
        <v>2279707954.3499999</v>
      </c>
      <c r="Q4" s="99">
        <v>729155910.35000002</v>
      </c>
      <c r="R4" s="153">
        <v>707913757.5</v>
      </c>
      <c r="S4" s="153">
        <v>940721729</v>
      </c>
      <c r="T4" s="153">
        <v>799457756.54999995</v>
      </c>
      <c r="U4" s="171">
        <v>385204031</v>
      </c>
      <c r="V4" s="238">
        <v>192694519</v>
      </c>
      <c r="W4" s="78">
        <v>63200000</v>
      </c>
      <c r="X4" s="239">
        <v>19066155</v>
      </c>
    </row>
    <row r="5" spans="1:24" ht="12.6" thickBot="1">
      <c r="A5" s="240" t="s">
        <v>102</v>
      </c>
      <c r="B5" s="241">
        <f>B3+B4</f>
        <v>6304463450.6499996</v>
      </c>
      <c r="C5" s="241">
        <v>5934395837.3999996</v>
      </c>
      <c r="D5" s="241">
        <v>6207742919.2000008</v>
      </c>
      <c r="E5" s="241">
        <v>6420558410.0445004</v>
      </c>
      <c r="F5" s="241">
        <v>6873330022.79</v>
      </c>
      <c r="G5" s="241">
        <v>6281389531.9200001</v>
      </c>
      <c r="H5" s="241">
        <v>7634459759.04</v>
      </c>
      <c r="I5" s="242">
        <v>6561415029.1999998</v>
      </c>
      <c r="J5" s="243">
        <v>6461406313</v>
      </c>
      <c r="K5" s="243">
        <v>5276952524.8000002</v>
      </c>
      <c r="L5" s="243">
        <v>4717858331.6000004</v>
      </c>
      <c r="M5" s="244">
        <v>5390400333.4499998</v>
      </c>
      <c r="N5" s="244">
        <v>5689632248.3000002</v>
      </c>
      <c r="O5" s="244">
        <v>5407133423.5500002</v>
      </c>
      <c r="P5" s="245">
        <v>4469135614.3500004</v>
      </c>
      <c r="Q5" s="246">
        <v>2761028210.3499999</v>
      </c>
      <c r="R5" s="247">
        <v>2706075312.5</v>
      </c>
      <c r="S5" s="247">
        <v>2769519169</v>
      </c>
      <c r="T5" s="247">
        <v>2598659516.5500002</v>
      </c>
      <c r="U5" s="247">
        <v>2154684752</v>
      </c>
      <c r="V5" s="248">
        <v>1826186494</v>
      </c>
      <c r="W5" s="247">
        <v>1662576350</v>
      </c>
      <c r="X5" s="248">
        <v>1322304905</v>
      </c>
    </row>
    <row r="6" spans="1:24" ht="12">
      <c r="A6" s="237"/>
      <c r="B6" s="287"/>
      <c r="C6" s="472"/>
      <c r="D6" s="472"/>
      <c r="E6" s="472"/>
      <c r="F6" s="59"/>
      <c r="G6" s="59"/>
      <c r="H6" s="59"/>
      <c r="I6" s="59"/>
      <c r="J6" s="249"/>
      <c r="K6" s="472"/>
      <c r="L6" s="250"/>
      <c r="M6" s="59"/>
      <c r="N6" s="59"/>
      <c r="O6" s="59"/>
      <c r="P6" s="59"/>
      <c r="Q6" s="59"/>
      <c r="R6" s="99"/>
      <c r="S6" s="99"/>
      <c r="T6" s="171"/>
      <c r="U6" s="171"/>
      <c r="V6" s="238"/>
      <c r="W6" s="78"/>
      <c r="X6" s="251"/>
    </row>
    <row r="7" spans="1:24" ht="12.6" thickBot="1">
      <c r="A7" s="240"/>
      <c r="B7" s="530"/>
      <c r="C7" s="530"/>
      <c r="D7" s="252"/>
      <c r="E7" s="284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42"/>
      <c r="S7" s="242"/>
      <c r="T7" s="253"/>
      <c r="U7" s="253"/>
      <c r="V7" s="254"/>
      <c r="W7" s="78"/>
      <c r="X7" s="251"/>
    </row>
    <row r="8" spans="1:24" ht="12">
      <c r="A8" s="237" t="s">
        <v>103</v>
      </c>
      <c r="B8" s="286">
        <v>0</v>
      </c>
      <c r="C8" s="99">
        <v>0</v>
      </c>
      <c r="D8" s="99">
        <v>0</v>
      </c>
      <c r="E8" s="99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10842500</v>
      </c>
      <c r="O8" s="99">
        <v>0</v>
      </c>
      <c r="P8" s="287"/>
      <c r="Q8" s="153">
        <v>0</v>
      </c>
      <c r="R8" s="153">
        <v>491236593.5</v>
      </c>
      <c r="S8" s="153">
        <v>467057690.5</v>
      </c>
      <c r="T8" s="171">
        <v>75815311</v>
      </c>
      <c r="U8" s="171">
        <v>303875370</v>
      </c>
      <c r="V8" s="238">
        <v>166861717</v>
      </c>
      <c r="W8" s="78">
        <v>453396662</v>
      </c>
      <c r="X8" s="251">
        <v>418475905</v>
      </c>
    </row>
    <row r="9" spans="1:24" ht="12">
      <c r="A9" s="255" t="s">
        <v>104</v>
      </c>
      <c r="B9" s="504">
        <f>('2021 CF'!L24-179151520.7)+'2022 CF'!L44+SUM('2022 CF'!L45:L50)+'2022 CF'!L52+('2022 CF'!L53-187145473.05)</f>
        <v>881763923.6500001</v>
      </c>
      <c r="C9" s="153">
        <v>760448009.70000005</v>
      </c>
      <c r="D9" s="153">
        <v>264771836</v>
      </c>
      <c r="E9" s="153">
        <v>184997155</v>
      </c>
      <c r="F9" s="153">
        <v>0</v>
      </c>
      <c r="G9" s="153">
        <v>0</v>
      </c>
      <c r="H9" s="153">
        <v>0</v>
      </c>
      <c r="I9" s="153">
        <v>31510000</v>
      </c>
      <c r="J9" s="153">
        <v>19870000</v>
      </c>
      <c r="K9" s="153">
        <v>0</v>
      </c>
      <c r="L9" s="153">
        <v>0</v>
      </c>
      <c r="M9" s="153">
        <v>78070000</v>
      </c>
      <c r="N9" s="153">
        <v>562402275</v>
      </c>
      <c r="O9" s="153">
        <v>0</v>
      </c>
      <c r="P9" s="153">
        <v>51276200</v>
      </c>
      <c r="Q9" s="153"/>
      <c r="R9" s="153">
        <v>76750929</v>
      </c>
      <c r="S9" s="153">
        <v>34450000</v>
      </c>
      <c r="T9" s="171">
        <v>0</v>
      </c>
      <c r="U9" s="171">
        <v>0</v>
      </c>
      <c r="V9" s="238">
        <v>10450000</v>
      </c>
      <c r="W9" s="78">
        <v>0</v>
      </c>
      <c r="X9" s="251">
        <v>0</v>
      </c>
    </row>
    <row r="10" spans="1:24" ht="12">
      <c r="A10" s="255" t="s">
        <v>105</v>
      </c>
      <c r="B10" s="504">
        <v>0</v>
      </c>
      <c r="C10" s="153">
        <v>0</v>
      </c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30000000</v>
      </c>
      <c r="Q10" s="153"/>
      <c r="R10" s="153"/>
      <c r="S10" s="153"/>
      <c r="T10" s="171"/>
      <c r="U10" s="171"/>
      <c r="V10" s="238"/>
      <c r="W10" s="78"/>
      <c r="X10" s="251"/>
    </row>
    <row r="11" spans="1:24" ht="12">
      <c r="A11" s="237" t="s">
        <v>106</v>
      </c>
      <c r="B11" s="286">
        <f>'SC1 MRB'!P12</f>
        <v>24000000</v>
      </c>
      <c r="C11" s="99">
        <v>104750371</v>
      </c>
      <c r="D11" s="99">
        <v>20623602</v>
      </c>
      <c r="E11" s="99">
        <v>0</v>
      </c>
      <c r="F11" s="99">
        <v>10153000</v>
      </c>
      <c r="G11" s="99">
        <v>15000000</v>
      </c>
      <c r="H11" s="99">
        <v>918015268.89999998</v>
      </c>
      <c r="I11" s="99">
        <v>260068279.56</v>
      </c>
      <c r="J11" s="99">
        <v>57500000</v>
      </c>
      <c r="K11" s="285">
        <v>31266000</v>
      </c>
      <c r="L11" s="99">
        <v>335757940</v>
      </c>
      <c r="M11" s="153">
        <v>228831078</v>
      </c>
      <c r="N11" s="153">
        <v>95000000</v>
      </c>
      <c r="O11" s="99">
        <v>66142544</v>
      </c>
      <c r="P11" s="99">
        <v>54664820</v>
      </c>
      <c r="Q11" s="153">
        <v>99000000</v>
      </c>
      <c r="R11" s="153">
        <v>59300014</v>
      </c>
      <c r="S11" s="153">
        <v>104136159</v>
      </c>
      <c r="T11" s="171">
        <v>197530000</v>
      </c>
      <c r="U11" s="171">
        <v>48528775</v>
      </c>
      <c r="V11" s="238">
        <v>94209746</v>
      </c>
      <c r="W11" s="78">
        <v>0</v>
      </c>
      <c r="X11" s="251">
        <v>0</v>
      </c>
    </row>
    <row r="12" spans="1:24" ht="12">
      <c r="A12" s="255" t="s">
        <v>104</v>
      </c>
      <c r="B12" s="504">
        <f>'2021 CF'!L23+('2021 CF'!L24-140380097.3)+('2022 CF'!L53-62854526.95)</f>
        <v>487145473.05000001</v>
      </c>
      <c r="C12" s="153">
        <v>452344595</v>
      </c>
      <c r="D12" s="153">
        <v>692865165.5</v>
      </c>
      <c r="E12" s="153">
        <v>1214999246.9245</v>
      </c>
      <c r="F12" s="153">
        <v>1818210608.55</v>
      </c>
      <c r="G12" s="153">
        <v>713413832.36000001</v>
      </c>
      <c r="H12" s="153">
        <v>2111916905.6700001</v>
      </c>
      <c r="I12" s="153">
        <v>50000000</v>
      </c>
      <c r="J12" s="153">
        <v>1224590213</v>
      </c>
      <c r="K12" s="288">
        <v>695266000</v>
      </c>
      <c r="L12" s="153">
        <v>340000000</v>
      </c>
      <c r="M12" s="153">
        <v>455105100</v>
      </c>
      <c r="N12" s="153">
        <v>249003434</v>
      </c>
      <c r="O12" s="153">
        <v>333000000</v>
      </c>
      <c r="P12" s="153">
        <v>190356000</v>
      </c>
      <c r="Q12" s="153">
        <v>35240000</v>
      </c>
      <c r="R12" s="153">
        <v>0</v>
      </c>
      <c r="S12" s="153">
        <v>12629000</v>
      </c>
      <c r="T12" s="171">
        <v>0</v>
      </c>
      <c r="U12" s="171">
        <v>0</v>
      </c>
      <c r="V12" s="238">
        <v>0</v>
      </c>
      <c r="W12" s="78">
        <v>0</v>
      </c>
      <c r="X12" s="251">
        <v>0</v>
      </c>
    </row>
    <row r="13" spans="1:24" ht="12">
      <c r="A13" s="255" t="s">
        <v>105</v>
      </c>
      <c r="B13" s="504">
        <v>0</v>
      </c>
      <c r="C13" s="153">
        <v>0</v>
      </c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398500000</v>
      </c>
      <c r="P13" s="153">
        <v>235800000</v>
      </c>
      <c r="Q13" s="153"/>
      <c r="R13" s="153"/>
      <c r="S13" s="153"/>
      <c r="T13" s="171"/>
      <c r="U13" s="171"/>
      <c r="V13" s="238"/>
      <c r="W13" s="78"/>
      <c r="X13" s="251"/>
    </row>
    <row r="14" spans="1:24" ht="12">
      <c r="A14" s="237" t="s">
        <v>107</v>
      </c>
      <c r="B14" s="286">
        <f>'SC4 TSAHC'!N16+'SC4 MF- TDHCA'!N22+'SC4 MF- Local Collapse'!N44+'REGION 1'!N12+'REGION 2'!N9+'REGION 3'!N26+'REGION 4'!N10+'REGION 5'!N10+'REGION 6'!N32+'REGION 7'!N26+'REGION 8'!N9+'REGION 9'!N15+'REGION 10'!N9+'REGION 11'!N11+'REGION 12'!N9+'REGION 13'!N10+'SC5 OTHER'!N7+'SC5 OTHER'!N9+'SC5 OTHER'!N11+'SC5 OTHER'!N13+'SC5 OTHER'!N15+'SC5 OTHER'!N25+'SC5 OTHER'!N28+'SC5 OTHER'!N32+'SC5 OTHER'!N36+'SC5 OTHER'!N37+'SC5 OTHER'!N39+'SC5 OTHER'!N53+'SC5 OTHER'!N56+'SC5 OTHER'!N87</f>
        <v>934333238.07000005</v>
      </c>
      <c r="C14" s="99">
        <v>1094580971.8899999</v>
      </c>
      <c r="D14" s="99">
        <v>1106663485</v>
      </c>
      <c r="E14" s="65">
        <v>989721000</v>
      </c>
      <c r="F14" s="99">
        <v>381157999</v>
      </c>
      <c r="G14" s="99">
        <v>225577000</v>
      </c>
      <c r="H14" s="99">
        <v>118240400</v>
      </c>
      <c r="I14" s="99">
        <v>225357000</v>
      </c>
      <c r="J14" s="99">
        <v>144676500</v>
      </c>
      <c r="K14" s="285">
        <v>80945000</v>
      </c>
      <c r="L14" s="99">
        <v>72480000</v>
      </c>
      <c r="M14" s="153">
        <v>90325000</v>
      </c>
      <c r="N14" s="153">
        <v>7250000</v>
      </c>
      <c r="O14" s="99">
        <v>5275000</v>
      </c>
      <c r="P14" s="99">
        <v>0</v>
      </c>
      <c r="Q14" s="153">
        <v>38530714</v>
      </c>
      <c r="R14" s="153">
        <v>266479282</v>
      </c>
      <c r="S14" s="153">
        <v>101592000</v>
      </c>
      <c r="T14" s="171">
        <v>108950000</v>
      </c>
      <c r="U14" s="171">
        <v>384700000</v>
      </c>
      <c r="V14" s="239">
        <v>388626000</v>
      </c>
      <c r="W14" s="78">
        <v>365185169</v>
      </c>
      <c r="X14" s="251">
        <v>319584000</v>
      </c>
    </row>
    <row r="15" spans="1:24" ht="12">
      <c r="A15" s="255" t="s">
        <v>104</v>
      </c>
      <c r="B15" s="504">
        <f>'2020 CF'!L6+'2021 CF'!L6+'2021 CF'!L7+'2021 CF'!L30+'2021 CF'!L31+'2021 CF'!L32+'2022 CF'!L6+'2022 CF'!L7+'2022 CF'!L10+'2022 CF'!L14+'2022 CF'!L62+'2022 CF'!L63+'2022 CF'!L64+'2022 CF'!L65+'2022 CF'!L66+'2022 CF'!L67+'2022 CF'!L69+'2022 CF'!L70+'2022 CF'!L71+'2022 CF'!L72+'2022 CF'!L73+'2022 CF'!L74+('2022 CF'!L76-4000000)+'2022 CF'!L77+'2022 CF'!L79+'2022 CF'!L80+('2022 CF'!L81-38800000)+'2022 CF'!L82</f>
        <v>769141541.85000002</v>
      </c>
      <c r="C15" s="153">
        <v>620934090.80999994</v>
      </c>
      <c r="D15" s="153">
        <v>950323728</v>
      </c>
      <c r="E15" s="153">
        <v>606871000</v>
      </c>
      <c r="F15" s="153">
        <v>663385001</v>
      </c>
      <c r="G15" s="153">
        <v>554545900</v>
      </c>
      <c r="H15" s="153">
        <v>482831600</v>
      </c>
      <c r="I15" s="153">
        <v>353473500</v>
      </c>
      <c r="J15" s="153">
        <v>352830000</v>
      </c>
      <c r="K15" s="288">
        <v>116150000</v>
      </c>
      <c r="L15" s="153">
        <v>100725000</v>
      </c>
      <c r="M15" s="153">
        <v>20100000</v>
      </c>
      <c r="N15" s="153">
        <v>62625000</v>
      </c>
      <c r="O15" s="153">
        <v>31050000</v>
      </c>
      <c r="P15" s="99">
        <v>28690000</v>
      </c>
      <c r="Q15" s="153">
        <v>86135000</v>
      </c>
      <c r="R15" s="153">
        <v>101789718</v>
      </c>
      <c r="S15" s="153">
        <v>329745562</v>
      </c>
      <c r="T15" s="171">
        <v>428150000</v>
      </c>
      <c r="U15" s="171">
        <v>97550000</v>
      </c>
      <c r="V15" s="238">
        <v>123550000</v>
      </c>
      <c r="W15" s="171">
        <v>0</v>
      </c>
      <c r="X15" s="256">
        <v>0</v>
      </c>
    </row>
    <row r="16" spans="1:24" ht="12">
      <c r="A16" s="255" t="s">
        <v>105</v>
      </c>
      <c r="B16" s="504">
        <v>0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15700000</v>
      </c>
      <c r="Q16" s="153"/>
      <c r="R16" s="153"/>
      <c r="S16" s="153"/>
      <c r="T16" s="171"/>
      <c r="U16" s="171"/>
      <c r="V16" s="238"/>
      <c r="W16" s="171"/>
      <c r="X16" s="256"/>
    </row>
    <row r="17" spans="1:24" ht="12">
      <c r="A17" s="237" t="s">
        <v>108</v>
      </c>
      <c r="B17" s="286"/>
      <c r="C17" s="59"/>
      <c r="D17" s="59"/>
      <c r="E17" s="59"/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99">
        <v>0</v>
      </c>
      <c r="P17" s="99"/>
      <c r="Q17" s="153"/>
      <c r="R17" s="99">
        <v>0</v>
      </c>
      <c r="S17" s="99">
        <v>0</v>
      </c>
      <c r="T17" s="171">
        <v>0</v>
      </c>
      <c r="U17" s="171">
        <v>0</v>
      </c>
      <c r="V17" s="238">
        <v>0</v>
      </c>
      <c r="W17" s="171">
        <v>0</v>
      </c>
      <c r="X17" s="256">
        <v>0</v>
      </c>
    </row>
    <row r="18" spans="1:24" ht="12">
      <c r="A18" s="237" t="s">
        <v>3</v>
      </c>
      <c r="B18" s="286">
        <f>'SC3 Small Issue IDBs'!N11</f>
        <v>0</v>
      </c>
      <c r="C18" s="99">
        <v>0</v>
      </c>
      <c r="D18" s="99">
        <v>0</v>
      </c>
      <c r="E18" s="99">
        <v>0</v>
      </c>
      <c r="F18" s="99">
        <v>20000000</v>
      </c>
      <c r="G18" s="153">
        <v>0</v>
      </c>
      <c r="H18" s="77">
        <v>8600000</v>
      </c>
      <c r="I18" s="77">
        <v>10000000</v>
      </c>
      <c r="J18" s="153">
        <v>0</v>
      </c>
      <c r="K18" s="285">
        <v>3650000</v>
      </c>
      <c r="L18" s="99">
        <v>1897830</v>
      </c>
      <c r="M18" s="153">
        <v>10000000</v>
      </c>
      <c r="N18" s="153">
        <v>13300000</v>
      </c>
      <c r="O18" s="99">
        <v>3440000</v>
      </c>
      <c r="P18" s="99">
        <v>16043250</v>
      </c>
      <c r="Q18" s="153">
        <v>40869207</v>
      </c>
      <c r="R18" s="153">
        <v>19402500</v>
      </c>
      <c r="S18" s="99">
        <v>0</v>
      </c>
      <c r="T18" s="171">
        <v>4225000</v>
      </c>
      <c r="U18" s="171">
        <v>10000000</v>
      </c>
      <c r="V18" s="238">
        <v>3700000</v>
      </c>
      <c r="W18" s="171">
        <v>0</v>
      </c>
      <c r="X18" s="256">
        <v>0</v>
      </c>
    </row>
    <row r="19" spans="1:24" ht="12">
      <c r="A19" s="255" t="s">
        <v>104</v>
      </c>
      <c r="B19" s="504">
        <v>0</v>
      </c>
      <c r="C19" s="153">
        <v>0</v>
      </c>
      <c r="D19" s="153">
        <v>0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99"/>
      <c r="Q19" s="153"/>
      <c r="R19" s="99">
        <v>0</v>
      </c>
      <c r="S19" s="99">
        <v>0</v>
      </c>
      <c r="T19" s="171">
        <v>3000000</v>
      </c>
      <c r="U19" s="171">
        <v>0</v>
      </c>
      <c r="V19" s="238">
        <v>0</v>
      </c>
      <c r="W19" s="171">
        <v>0</v>
      </c>
      <c r="X19" s="256">
        <v>0</v>
      </c>
    </row>
    <row r="20" spans="1:24" ht="12">
      <c r="A20" s="237" t="s">
        <v>109</v>
      </c>
      <c r="B20" s="286">
        <f>'SC5 OTHER'!N31</f>
        <v>100000000</v>
      </c>
      <c r="C20" s="99">
        <v>75000000</v>
      </c>
      <c r="D20" s="99">
        <v>100000000</v>
      </c>
      <c r="E20" s="99">
        <v>76870000</v>
      </c>
      <c r="F20" s="99">
        <v>75000000</v>
      </c>
      <c r="G20" s="99">
        <v>86430000</v>
      </c>
      <c r="H20" s="77">
        <v>0</v>
      </c>
      <c r="I20" s="77">
        <v>50000000</v>
      </c>
      <c r="J20" s="77">
        <v>53350000</v>
      </c>
      <c r="K20" s="289">
        <v>155360000</v>
      </c>
      <c r="L20" s="77">
        <v>40675827</v>
      </c>
      <c r="M20" s="77">
        <v>361535000</v>
      </c>
      <c r="N20" s="77">
        <v>45000000</v>
      </c>
      <c r="O20" s="99">
        <v>445510316.30000001</v>
      </c>
      <c r="P20" s="99">
        <v>358800000</v>
      </c>
      <c r="Q20" s="153">
        <v>658300000</v>
      </c>
      <c r="R20" s="153">
        <v>475235473</v>
      </c>
      <c r="S20" s="153">
        <v>519550000</v>
      </c>
      <c r="T20" s="171">
        <v>139425000</v>
      </c>
      <c r="U20" s="171">
        <v>189355000</v>
      </c>
      <c r="V20" s="238">
        <v>391476662</v>
      </c>
      <c r="W20" s="78">
        <v>391800000</v>
      </c>
      <c r="X20" s="251">
        <v>384205000</v>
      </c>
    </row>
    <row r="21" spans="1:24" ht="12">
      <c r="A21" s="255" t="s">
        <v>104</v>
      </c>
      <c r="B21" s="504">
        <f>'2021 CF'!L41+'2022 CF'!L89</f>
        <v>66000000</v>
      </c>
      <c r="C21" s="153">
        <v>0</v>
      </c>
      <c r="D21" s="153">
        <v>0</v>
      </c>
      <c r="E21" s="153">
        <v>94030000</v>
      </c>
      <c r="F21" s="153">
        <v>25000000</v>
      </c>
      <c r="G21" s="153">
        <v>352115000</v>
      </c>
      <c r="H21" s="78">
        <v>0</v>
      </c>
      <c r="I21" s="78">
        <v>252885000</v>
      </c>
      <c r="J21" s="78">
        <v>0</v>
      </c>
      <c r="K21" s="78">
        <v>0</v>
      </c>
      <c r="L21" s="78">
        <v>0</v>
      </c>
      <c r="M21" s="78">
        <v>0</v>
      </c>
      <c r="N21" s="78">
        <v>40200000</v>
      </c>
      <c r="O21" s="153">
        <v>143000000</v>
      </c>
      <c r="P21" s="99"/>
      <c r="Q21" s="153"/>
      <c r="R21" s="153">
        <v>96499998</v>
      </c>
      <c r="S21" s="153">
        <v>205500000</v>
      </c>
      <c r="T21" s="171">
        <v>5200000</v>
      </c>
      <c r="U21" s="171">
        <v>0</v>
      </c>
      <c r="V21" s="238">
        <v>22108338</v>
      </c>
      <c r="W21" s="78">
        <v>0</v>
      </c>
      <c r="X21" s="251">
        <v>0</v>
      </c>
    </row>
    <row r="22" spans="1:24" ht="12">
      <c r="A22" s="237" t="s">
        <v>110</v>
      </c>
      <c r="B22" s="286">
        <v>0</v>
      </c>
      <c r="C22" s="99">
        <v>0</v>
      </c>
      <c r="D22" s="99">
        <v>68359729.400000006</v>
      </c>
      <c r="E22" s="99">
        <v>63258647.799999997</v>
      </c>
      <c r="F22" s="65">
        <v>46001315.149999999</v>
      </c>
      <c r="G22" s="78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99">
        <v>85850000</v>
      </c>
      <c r="P22" s="99">
        <v>0</v>
      </c>
      <c r="Q22" s="153">
        <v>58500000</v>
      </c>
      <c r="R22" s="153">
        <v>209759336</v>
      </c>
      <c r="S22" s="153">
        <v>191945000</v>
      </c>
      <c r="T22" s="171">
        <v>598050000</v>
      </c>
      <c r="U22" s="171">
        <v>296200000</v>
      </c>
      <c r="V22" s="238">
        <v>140000000</v>
      </c>
      <c r="W22" s="78">
        <v>139500000</v>
      </c>
      <c r="X22" s="251">
        <v>136840000</v>
      </c>
    </row>
    <row r="23" spans="1:24" ht="12">
      <c r="A23" s="255" t="s">
        <v>104</v>
      </c>
      <c r="B23" s="504">
        <f>'2020 CF'!L30</f>
        <v>43375000</v>
      </c>
      <c r="C23" s="153">
        <v>0</v>
      </c>
      <c r="D23" s="153">
        <v>0</v>
      </c>
      <c r="E23" s="153">
        <v>30032428.350000001</v>
      </c>
      <c r="F23" s="257">
        <v>19967571.649999999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153">
        <v>208000000</v>
      </c>
      <c r="P23" s="99"/>
      <c r="Q23" s="153"/>
      <c r="R23" s="153">
        <v>30645664</v>
      </c>
      <c r="S23" s="99">
        <v>0</v>
      </c>
      <c r="T23" s="171">
        <v>58000000</v>
      </c>
      <c r="U23" s="171">
        <v>0</v>
      </c>
      <c r="V23" s="238">
        <v>0</v>
      </c>
      <c r="W23" s="78">
        <v>0</v>
      </c>
      <c r="X23" s="251">
        <v>0</v>
      </c>
    </row>
    <row r="24" spans="1:24" ht="12">
      <c r="A24" s="237" t="s">
        <v>111</v>
      </c>
      <c r="B24" s="286">
        <f>'SC2 State Voted'!N9</f>
        <v>141477004.5</v>
      </c>
      <c r="C24" s="99">
        <v>100422987.95</v>
      </c>
      <c r="D24" s="99">
        <v>177456005.59999999</v>
      </c>
      <c r="E24" s="287">
        <v>69990168.900000006</v>
      </c>
      <c r="F24" s="78">
        <v>0</v>
      </c>
      <c r="G24" s="78">
        <v>0</v>
      </c>
      <c r="H24" s="77">
        <v>170111691.94999999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74994999.700000003</v>
      </c>
      <c r="O24" s="99">
        <v>95279609.400000006</v>
      </c>
      <c r="P24" s="99">
        <v>24999100.800000001</v>
      </c>
      <c r="Q24" s="153">
        <v>74997184.099999994</v>
      </c>
      <c r="R24" s="153">
        <v>99999895.150000006</v>
      </c>
      <c r="S24" s="99">
        <v>0</v>
      </c>
      <c r="T24" s="171">
        <v>0</v>
      </c>
      <c r="U24" s="171">
        <v>25000000</v>
      </c>
      <c r="V24" s="238">
        <v>100000000</v>
      </c>
      <c r="W24" s="78">
        <v>120000000</v>
      </c>
      <c r="X24" s="251" t="s">
        <v>131</v>
      </c>
    </row>
    <row r="25" spans="1:24" ht="12">
      <c r="A25" s="255" t="s">
        <v>104</v>
      </c>
      <c r="B25" s="504">
        <v>0</v>
      </c>
      <c r="C25" s="153">
        <v>0</v>
      </c>
      <c r="D25" s="153">
        <v>0</v>
      </c>
      <c r="E25" s="153">
        <v>29724277</v>
      </c>
      <c r="F25" s="153">
        <v>170275723</v>
      </c>
      <c r="G25" s="78">
        <v>0</v>
      </c>
      <c r="H25" s="78">
        <v>501939.59999999404</v>
      </c>
      <c r="I25" s="78">
        <v>179995089.59999999</v>
      </c>
      <c r="J25" s="78">
        <v>169502970.80000001</v>
      </c>
      <c r="K25" s="8">
        <v>81144804</v>
      </c>
      <c r="L25" s="78">
        <v>143854150.80000001</v>
      </c>
      <c r="M25" s="78">
        <v>99995837.400000006</v>
      </c>
      <c r="N25" s="78">
        <v>50000000</v>
      </c>
      <c r="O25" s="153">
        <v>144649500</v>
      </c>
      <c r="P25" s="153">
        <v>50000000</v>
      </c>
      <c r="Q25" s="153">
        <v>0</v>
      </c>
      <c r="R25" s="153">
        <v>0</v>
      </c>
      <c r="S25" s="99">
        <v>0</v>
      </c>
      <c r="T25" s="171">
        <v>0</v>
      </c>
      <c r="U25" s="171">
        <v>0</v>
      </c>
      <c r="V25" s="238">
        <v>0</v>
      </c>
      <c r="W25" s="78"/>
      <c r="X25" s="251"/>
    </row>
    <row r="26" spans="1:24" ht="12">
      <c r="A26" s="237" t="s">
        <v>112</v>
      </c>
      <c r="B26" s="286">
        <v>0</v>
      </c>
      <c r="C26" s="99">
        <v>0</v>
      </c>
      <c r="D26" s="99">
        <v>0</v>
      </c>
      <c r="E26" s="153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7">
        <v>742041688</v>
      </c>
      <c r="M26" s="77">
        <v>796507617.5999999</v>
      </c>
      <c r="N26" s="77">
        <v>1107266939</v>
      </c>
      <c r="O26" s="153">
        <v>0.30000019073486328</v>
      </c>
      <c r="P26" s="99"/>
      <c r="Q26" s="153">
        <v>18660702.037717462</v>
      </c>
      <c r="R26" s="153">
        <v>0</v>
      </c>
      <c r="S26" s="99">
        <v>0</v>
      </c>
      <c r="T26" s="171">
        <v>0</v>
      </c>
      <c r="U26" s="171">
        <v>0</v>
      </c>
      <c r="V26" s="238">
        <v>0</v>
      </c>
      <c r="W26" s="78">
        <v>0</v>
      </c>
      <c r="X26" s="251">
        <v>0</v>
      </c>
    </row>
    <row r="27" spans="1:24" ht="12">
      <c r="A27" s="237" t="s">
        <v>113</v>
      </c>
      <c r="B27" s="286">
        <f>'2020 CF'!M35</f>
        <v>65002648</v>
      </c>
      <c r="C27" s="99">
        <v>25000000.400000006</v>
      </c>
      <c r="D27" s="99">
        <v>140357040</v>
      </c>
      <c r="E27" s="99">
        <v>82005055.920000136</v>
      </c>
      <c r="F27" s="130">
        <v>268187900</v>
      </c>
      <c r="G27" s="130">
        <v>474671500</v>
      </c>
      <c r="H27" s="77">
        <v>514835000</v>
      </c>
      <c r="I27" s="128">
        <v>299926000</v>
      </c>
      <c r="J27" s="128">
        <v>622583000</v>
      </c>
      <c r="K27" s="289">
        <v>347460208</v>
      </c>
      <c r="L27" s="78">
        <v>308292671</v>
      </c>
      <c r="M27" s="77">
        <v>853943988</v>
      </c>
      <c r="N27" s="77">
        <v>520447605</v>
      </c>
      <c r="O27" s="99">
        <v>146632500.35000002</v>
      </c>
      <c r="P27" s="99">
        <v>236080000</v>
      </c>
      <c r="Q27" s="99">
        <v>101327449</v>
      </c>
      <c r="R27" s="153">
        <v>49580000</v>
      </c>
      <c r="S27" s="153">
        <v>95000000</v>
      </c>
      <c r="T27" s="171">
        <v>39592476.549999997</v>
      </c>
      <c r="U27" s="171">
        <v>17850</v>
      </c>
      <c r="V27" s="238">
        <v>0</v>
      </c>
      <c r="W27" s="171">
        <v>0</v>
      </c>
      <c r="X27" s="251"/>
    </row>
    <row r="28" spans="1:24" ht="12">
      <c r="A28" s="258" t="s">
        <v>114</v>
      </c>
      <c r="B28" s="1"/>
      <c r="C28" s="1"/>
      <c r="D28" s="1"/>
      <c r="E28" s="1"/>
      <c r="F28" s="1"/>
      <c r="G28" s="1"/>
      <c r="H28" s="78"/>
      <c r="I28" s="1"/>
      <c r="J28" s="1"/>
      <c r="K28" s="1"/>
      <c r="L28" s="1"/>
      <c r="M28" s="1"/>
      <c r="N28" s="1"/>
      <c r="O28" s="78"/>
      <c r="P28" s="267"/>
      <c r="Q28" s="59"/>
      <c r="R28" s="99"/>
      <c r="S28" s="99"/>
      <c r="T28" s="259"/>
      <c r="U28" s="171">
        <v>39677181.549999997</v>
      </c>
      <c r="V28" s="238"/>
      <c r="W28" s="171"/>
      <c r="X28" s="251"/>
    </row>
    <row r="29" spans="1:24" ht="12">
      <c r="A29" s="258" t="s">
        <v>115</v>
      </c>
      <c r="B29" s="1"/>
      <c r="C29" s="78"/>
      <c r="D29" s="78"/>
      <c r="E29" s="1"/>
      <c r="F29" s="199"/>
      <c r="G29" s="199"/>
      <c r="H29" s="78"/>
      <c r="I29" s="1"/>
      <c r="J29" s="1"/>
      <c r="K29" s="1"/>
      <c r="L29" s="1"/>
      <c r="M29" s="1"/>
      <c r="N29" s="1"/>
      <c r="O29" s="78"/>
      <c r="P29" s="267"/>
      <c r="Q29" s="4"/>
      <c r="R29" s="77"/>
      <c r="S29" s="171"/>
      <c r="T29" s="171">
        <v>95000000</v>
      </c>
      <c r="U29" s="171">
        <v>98000000</v>
      </c>
      <c r="V29" s="238"/>
      <c r="W29" s="171"/>
      <c r="X29" s="256"/>
    </row>
    <row r="30" spans="1:24" ht="12">
      <c r="A30" s="258" t="s">
        <v>116</v>
      </c>
      <c r="B30" s="153"/>
      <c r="C30" s="78"/>
      <c r="D30" s="78"/>
      <c r="E30" s="1"/>
      <c r="F30" s="78"/>
      <c r="G30" s="78"/>
      <c r="H30" s="78"/>
      <c r="I30" s="1"/>
      <c r="J30" s="1"/>
      <c r="K30" s="1"/>
      <c r="L30" s="1"/>
      <c r="M30" s="1"/>
      <c r="N30" s="78"/>
      <c r="O30" s="78"/>
      <c r="P30" s="267"/>
      <c r="Q30" s="1"/>
      <c r="R30" s="78"/>
      <c r="S30" s="78">
        <v>104065280</v>
      </c>
      <c r="T30" s="78">
        <v>170515280</v>
      </c>
      <c r="U30" s="78">
        <v>661780575</v>
      </c>
      <c r="V30" s="239"/>
      <c r="W30" s="78"/>
      <c r="X30" s="251"/>
    </row>
    <row r="31" spans="1:24" ht="12">
      <c r="A31" s="258" t="s">
        <v>117</v>
      </c>
      <c r="B31" s="1"/>
      <c r="C31" s="1"/>
      <c r="D31" s="1"/>
      <c r="E31" s="1"/>
      <c r="F31" s="78"/>
      <c r="G31" s="78"/>
      <c r="H31" s="78"/>
      <c r="I31" s="1"/>
      <c r="J31" s="1"/>
      <c r="K31" s="1"/>
      <c r="L31" s="1"/>
      <c r="M31" s="1">
        <v>34.166666666666671</v>
      </c>
      <c r="N31" s="78"/>
      <c r="O31" s="78"/>
      <c r="P31" s="267"/>
      <c r="Q31" s="1"/>
      <c r="R31" s="78">
        <v>101327449</v>
      </c>
      <c r="S31" s="78">
        <v>159331887</v>
      </c>
      <c r="T31" s="78">
        <v>675206449</v>
      </c>
      <c r="U31" s="78"/>
      <c r="V31" s="239">
        <v>385204031</v>
      </c>
      <c r="W31" s="78">
        <v>192694519</v>
      </c>
      <c r="X31" s="251">
        <v>63200000</v>
      </c>
    </row>
    <row r="32" spans="1:24" ht="12">
      <c r="A32" s="258" t="s">
        <v>118</v>
      </c>
      <c r="B32" s="267"/>
      <c r="C32" s="1"/>
      <c r="D32" s="1"/>
      <c r="E32" s="1"/>
      <c r="F32" s="199"/>
      <c r="G32" s="199"/>
      <c r="H32" s="78"/>
      <c r="I32" s="78"/>
      <c r="J32" s="1"/>
      <c r="K32" s="1"/>
      <c r="L32" s="1"/>
      <c r="M32" s="1"/>
      <c r="N32" s="78"/>
      <c r="O32" s="78"/>
      <c r="P32" s="267"/>
      <c r="Q32" s="78">
        <v>236080000</v>
      </c>
      <c r="R32" s="78">
        <v>251080000</v>
      </c>
      <c r="S32" s="78">
        <v>444516590.5</v>
      </c>
      <c r="T32" s="78"/>
      <c r="U32" s="78"/>
      <c r="V32" s="239"/>
      <c r="W32" s="78"/>
      <c r="X32" s="251"/>
    </row>
    <row r="33" spans="1:24" ht="12">
      <c r="A33" s="258" t="s">
        <v>119</v>
      </c>
      <c r="B33" s="267"/>
      <c r="C33" s="1"/>
      <c r="D33" s="1"/>
      <c r="E33" s="1"/>
      <c r="F33" s="1"/>
      <c r="G33" s="1"/>
      <c r="H33" s="78"/>
      <c r="I33" s="1"/>
      <c r="J33" s="1"/>
      <c r="K33" s="1"/>
      <c r="L33" s="1"/>
      <c r="M33" s="1"/>
      <c r="N33" s="78"/>
      <c r="O33" s="78"/>
      <c r="P33" s="267">
        <v>134538461.35000002</v>
      </c>
      <c r="Q33" s="78">
        <v>270613461.35000002</v>
      </c>
      <c r="R33" s="78">
        <v>376748461.35000002</v>
      </c>
      <c r="S33" s="78"/>
      <c r="T33" s="78"/>
      <c r="U33" s="78"/>
      <c r="V33" s="239"/>
      <c r="W33" s="78"/>
      <c r="X33" s="251"/>
    </row>
    <row r="34" spans="1:24" ht="12">
      <c r="A34" s="258" t="s">
        <v>120</v>
      </c>
      <c r="B34" s="1"/>
      <c r="C34" s="1"/>
      <c r="D34" s="1"/>
      <c r="E34" s="1"/>
      <c r="F34" s="78"/>
      <c r="G34" s="78"/>
      <c r="H34" s="78"/>
      <c r="I34" s="1"/>
      <c r="J34" s="1"/>
      <c r="K34" s="1"/>
      <c r="L34" s="1"/>
      <c r="M34" s="1"/>
      <c r="N34" s="78"/>
      <c r="O34" s="78">
        <v>548608539</v>
      </c>
      <c r="P34" s="267">
        <v>858767293</v>
      </c>
      <c r="Q34" s="78">
        <v>1043014493</v>
      </c>
      <c r="R34" s="78"/>
      <c r="S34" s="78"/>
      <c r="T34" s="78"/>
      <c r="U34" s="78"/>
      <c r="V34" s="239"/>
      <c r="W34" s="78"/>
      <c r="X34" s="251"/>
    </row>
    <row r="35" spans="1:24" ht="12">
      <c r="A35" s="258" t="s">
        <v>121</v>
      </c>
      <c r="B35" s="1"/>
      <c r="C35" s="1"/>
      <c r="D35" s="1"/>
      <c r="E35" s="1"/>
      <c r="F35" s="78"/>
      <c r="G35" s="78"/>
      <c r="H35" s="78"/>
      <c r="I35" s="78"/>
      <c r="J35" s="1"/>
      <c r="K35" s="1"/>
      <c r="L35" s="1"/>
      <c r="M35" s="1"/>
      <c r="N35" s="78">
        <v>862493038</v>
      </c>
      <c r="O35" s="78">
        <v>1223285704</v>
      </c>
      <c r="P35" s="267"/>
      <c r="Q35" s="78"/>
      <c r="R35" s="78"/>
      <c r="S35" s="78"/>
      <c r="T35" s="78"/>
      <c r="U35" s="78"/>
      <c r="V35" s="239"/>
      <c r="W35" s="78"/>
      <c r="X35" s="251"/>
    </row>
    <row r="36" spans="1:24" ht="12">
      <c r="A36" s="258" t="s">
        <v>122</v>
      </c>
      <c r="B36" s="1"/>
      <c r="C36" s="1"/>
      <c r="D36" s="1"/>
      <c r="E36" s="1"/>
      <c r="F36" s="1"/>
      <c r="G36" s="1"/>
      <c r="H36" s="78"/>
      <c r="I36" s="1"/>
      <c r="J36" s="1"/>
      <c r="K36" s="1"/>
      <c r="L36" s="1"/>
      <c r="M36" s="1"/>
      <c r="N36" s="78">
        <v>0</v>
      </c>
      <c r="O36" s="78">
        <v>0</v>
      </c>
      <c r="P36" s="267">
        <v>448500000</v>
      </c>
      <c r="Q36" s="78">
        <v>730000000</v>
      </c>
      <c r="R36" s="78"/>
      <c r="S36" s="78"/>
      <c r="T36" s="78"/>
      <c r="U36" s="78"/>
      <c r="V36" s="239"/>
      <c r="W36" s="78"/>
      <c r="X36" s="251"/>
    </row>
    <row r="37" spans="1:24" ht="12">
      <c r="A37" s="258" t="s">
        <v>123</v>
      </c>
      <c r="B37" s="1"/>
      <c r="C37" s="1"/>
      <c r="D37" s="1"/>
      <c r="E37" s="1"/>
      <c r="F37" s="1"/>
      <c r="G37" s="1"/>
      <c r="H37" s="78"/>
      <c r="I37" s="1"/>
      <c r="J37" s="1"/>
      <c r="K37" s="267"/>
      <c r="L37" s="267"/>
      <c r="M37" s="267"/>
      <c r="N37" s="78">
        <v>953632600.45000005</v>
      </c>
      <c r="O37" s="78"/>
      <c r="P37" s="267"/>
      <c r="Q37" s="78"/>
      <c r="R37" s="78"/>
      <c r="S37" s="78"/>
      <c r="T37" s="78"/>
      <c r="U37" s="78"/>
      <c r="V37" s="239"/>
      <c r="W37" s="78"/>
      <c r="X37" s="251"/>
    </row>
    <row r="38" spans="1:24" ht="12">
      <c r="A38" s="258" t="s">
        <v>124</v>
      </c>
      <c r="B38" s="1"/>
      <c r="C38" s="1"/>
      <c r="D38" s="1"/>
      <c r="E38" s="78"/>
      <c r="F38" s="78">
        <v>2557727688.3000002</v>
      </c>
      <c r="G38" s="1"/>
      <c r="H38" s="78"/>
      <c r="I38" s="78"/>
      <c r="J38" s="1"/>
      <c r="K38" s="78"/>
      <c r="L38" s="78">
        <v>578191224.79999995</v>
      </c>
      <c r="M38" s="267">
        <v>897459162.60000002</v>
      </c>
      <c r="N38" s="78"/>
      <c r="O38" s="78"/>
      <c r="P38" s="267"/>
      <c r="Q38" s="78"/>
      <c r="R38" s="78"/>
      <c r="S38" s="78"/>
      <c r="T38" s="78"/>
      <c r="U38" s="78"/>
      <c r="V38" s="239"/>
      <c r="W38" s="78"/>
      <c r="X38" s="251"/>
    </row>
    <row r="39" spans="1:24" ht="12">
      <c r="A39" s="258" t="s">
        <v>125</v>
      </c>
      <c r="B39" s="1"/>
      <c r="C39" s="1"/>
      <c r="D39" s="1"/>
      <c r="E39" s="1"/>
      <c r="F39" s="78"/>
      <c r="G39" s="1"/>
      <c r="H39" s="78"/>
      <c r="K39" s="8">
        <v>640700000</v>
      </c>
      <c r="L39" s="78">
        <v>771171000</v>
      </c>
      <c r="M39" s="267"/>
      <c r="N39" s="78"/>
      <c r="O39" s="78"/>
      <c r="P39" s="267"/>
      <c r="Q39" s="78"/>
      <c r="R39" s="78"/>
      <c r="S39" s="78"/>
      <c r="T39" s="78"/>
      <c r="U39" s="78"/>
      <c r="V39" s="239"/>
      <c r="W39" s="78"/>
      <c r="X39" s="251"/>
    </row>
    <row r="40" spans="1:24" ht="12">
      <c r="A40" s="258" t="s">
        <v>126</v>
      </c>
      <c r="B40" s="1"/>
      <c r="C40" s="1"/>
      <c r="D40" s="1"/>
      <c r="E40" s="1"/>
      <c r="F40" s="78">
        <v>862967647.79999995</v>
      </c>
      <c r="G40" s="78"/>
      <c r="H40" s="78"/>
      <c r="I40" s="78"/>
      <c r="J40" s="78">
        <v>299926000</v>
      </c>
      <c r="K40" s="8">
        <v>751412213</v>
      </c>
      <c r="L40" s="78"/>
      <c r="M40" s="267"/>
      <c r="N40" s="78"/>
      <c r="O40" s="78"/>
      <c r="P40" s="267"/>
      <c r="Q40" s="78"/>
      <c r="R40" s="78"/>
      <c r="S40" s="78"/>
      <c r="T40" s="78"/>
      <c r="U40" s="78"/>
      <c r="V40" s="239"/>
      <c r="W40" s="78"/>
      <c r="X40" s="251"/>
    </row>
    <row r="41" spans="1:24" ht="12">
      <c r="A41" s="258" t="s">
        <v>127</v>
      </c>
      <c r="B41" s="1"/>
      <c r="C41" s="1"/>
      <c r="D41" s="1"/>
      <c r="E41" s="1"/>
      <c r="F41" s="78"/>
      <c r="G41" s="1"/>
      <c r="H41" s="78"/>
      <c r="I41" s="78">
        <v>792403239.60000002</v>
      </c>
      <c r="J41" s="78">
        <v>1074408329.2</v>
      </c>
      <c r="L41" s="78"/>
      <c r="M41" s="267"/>
      <c r="N41" s="78"/>
      <c r="O41" s="78"/>
      <c r="P41" s="267"/>
      <c r="Q41" s="78"/>
      <c r="R41" s="78"/>
      <c r="S41" s="78"/>
      <c r="T41" s="78"/>
      <c r="U41" s="78"/>
      <c r="V41" s="239"/>
      <c r="W41" s="78"/>
      <c r="X41" s="251"/>
    </row>
    <row r="42" spans="1:24" ht="12">
      <c r="A42" s="258" t="s">
        <v>146</v>
      </c>
      <c r="B42" s="1"/>
      <c r="C42" s="1"/>
      <c r="D42" s="1"/>
      <c r="E42" s="1"/>
      <c r="F42" s="1"/>
      <c r="G42" s="1"/>
      <c r="H42" s="78">
        <v>826786500.33000004</v>
      </c>
      <c r="I42" s="78">
        <v>1854310800</v>
      </c>
      <c r="J42" s="9"/>
      <c r="K42" s="8"/>
      <c r="L42" s="78"/>
      <c r="M42" s="267"/>
      <c r="N42" s="78"/>
      <c r="O42" s="78"/>
      <c r="P42" s="267"/>
      <c r="Q42" s="78"/>
      <c r="R42" s="78"/>
      <c r="S42" s="78"/>
      <c r="T42" s="78"/>
      <c r="U42" s="78"/>
      <c r="V42" s="239"/>
      <c r="W42" s="78"/>
      <c r="X42" s="251"/>
    </row>
    <row r="43" spans="1:24" ht="12">
      <c r="A43" s="258" t="s">
        <v>148</v>
      </c>
      <c r="B43" s="1"/>
      <c r="C43" s="1"/>
      <c r="D43" s="1"/>
      <c r="E43" s="1"/>
      <c r="F43" s="78"/>
      <c r="G43" s="78">
        <v>356484900</v>
      </c>
      <c r="H43" s="78">
        <v>911328213.44000006</v>
      </c>
      <c r="J43" s="78"/>
      <c r="K43" s="8"/>
      <c r="L43" s="78"/>
      <c r="M43" s="267"/>
      <c r="N43" s="78"/>
      <c r="O43" s="78"/>
      <c r="P43" s="267"/>
      <c r="Q43" s="78"/>
      <c r="R43" s="78"/>
      <c r="S43" s="78"/>
      <c r="T43" s="78"/>
      <c r="U43" s="78"/>
      <c r="V43" s="239"/>
      <c r="W43" s="78"/>
      <c r="X43" s="251"/>
    </row>
    <row r="44" spans="1:24" ht="12">
      <c r="A44" s="258" t="s">
        <v>154</v>
      </c>
      <c r="B44" s="1"/>
      <c r="C44" s="1"/>
      <c r="D44" s="1"/>
      <c r="E44" s="78"/>
      <c r="F44" s="78">
        <v>127037484.27000013</v>
      </c>
      <c r="G44" s="78">
        <v>858175818.78999996</v>
      </c>
      <c r="I44" s="78"/>
      <c r="J44" s="78"/>
      <c r="K44" s="8"/>
      <c r="L44" s="78"/>
      <c r="M44" s="267"/>
      <c r="N44" s="78"/>
      <c r="O44" s="78"/>
      <c r="P44" s="267"/>
      <c r="Q44" s="78"/>
      <c r="R44" s="78"/>
      <c r="S44" s="78"/>
      <c r="T44" s="78"/>
      <c r="U44" s="78"/>
      <c r="V44" s="239"/>
      <c r="W44" s="78"/>
      <c r="X44" s="251"/>
    </row>
    <row r="45" spans="1:24" ht="12">
      <c r="A45" s="258" t="s">
        <v>173</v>
      </c>
      <c r="B45" s="1"/>
      <c r="C45" s="78"/>
      <c r="D45" s="78"/>
      <c r="E45" s="78">
        <v>295907040</v>
      </c>
      <c r="F45" s="78">
        <v>767572009.92449999</v>
      </c>
      <c r="H45" s="78"/>
      <c r="I45" s="78"/>
      <c r="J45" s="78"/>
      <c r="K45" s="8"/>
      <c r="L45" s="78"/>
      <c r="M45" s="267"/>
      <c r="N45" s="78"/>
      <c r="O45" s="78"/>
      <c r="P45" s="267"/>
      <c r="Q45" s="78"/>
      <c r="R45" s="78"/>
      <c r="S45" s="78"/>
      <c r="T45" s="78"/>
      <c r="U45" s="78"/>
      <c r="V45" s="239"/>
      <c r="W45" s="78"/>
      <c r="X45" s="251"/>
    </row>
    <row r="46" spans="1:24" ht="12">
      <c r="A46" s="258" t="s">
        <v>167</v>
      </c>
      <c r="B46" s="1"/>
      <c r="C46" s="267"/>
      <c r="D46" s="267">
        <v>101136362.40000001</v>
      </c>
      <c r="E46" s="78">
        <v>837424700.89999998</v>
      </c>
      <c r="F46" s="78"/>
      <c r="G46" s="78"/>
      <c r="H46" s="78"/>
      <c r="I46" s="78"/>
      <c r="J46" s="78"/>
      <c r="K46" s="8"/>
      <c r="L46" s="78"/>
      <c r="M46" s="267"/>
      <c r="N46" s="78"/>
      <c r="O46" s="78"/>
      <c r="P46" s="267"/>
      <c r="Q46" s="78"/>
      <c r="R46" s="78"/>
      <c r="S46" s="78"/>
      <c r="T46" s="78"/>
      <c r="U46" s="78"/>
      <c r="V46" s="239"/>
      <c r="W46" s="78"/>
      <c r="X46" s="251"/>
    </row>
    <row r="47" spans="1:24" ht="12">
      <c r="A47" s="258" t="s">
        <v>205</v>
      </c>
      <c r="B47" s="1"/>
      <c r="C47" s="78">
        <v>155457648</v>
      </c>
      <c r="D47" s="78">
        <v>828605297</v>
      </c>
      <c r="E47" s="78"/>
      <c r="F47" s="78"/>
      <c r="G47" s="78"/>
      <c r="H47" s="78"/>
      <c r="I47" s="78"/>
      <c r="J47" s="78"/>
      <c r="K47" s="8"/>
      <c r="L47" s="78"/>
      <c r="M47" s="267"/>
      <c r="N47" s="78"/>
      <c r="O47" s="78"/>
      <c r="P47" s="267"/>
      <c r="Q47" s="78"/>
      <c r="R47" s="78"/>
      <c r="S47" s="78"/>
      <c r="T47" s="78"/>
      <c r="U47" s="78"/>
      <c r="V47" s="239"/>
      <c r="W47" s="78"/>
      <c r="X47" s="251"/>
    </row>
    <row r="48" spans="1:24" ht="12">
      <c r="A48" s="258" t="s">
        <v>326</v>
      </c>
      <c r="B48" s="78">
        <f>'2021 CF'!M44</f>
        <v>72896025.790000007</v>
      </c>
      <c r="C48" s="78">
        <v>672137983.49000001</v>
      </c>
      <c r="D48" s="78"/>
      <c r="E48" s="78"/>
      <c r="F48" s="78"/>
      <c r="G48" s="78"/>
      <c r="H48" s="78"/>
      <c r="I48" s="78"/>
      <c r="J48" s="78"/>
      <c r="K48" s="8"/>
      <c r="L48" s="78"/>
      <c r="M48" s="267"/>
      <c r="N48" s="78"/>
      <c r="O48" s="78"/>
      <c r="P48" s="267"/>
      <c r="Q48" s="78"/>
      <c r="R48" s="78"/>
      <c r="S48" s="78"/>
      <c r="T48" s="78"/>
      <c r="U48" s="78"/>
      <c r="V48" s="239"/>
      <c r="W48" s="78"/>
      <c r="X48" s="251"/>
    </row>
    <row r="49" spans="1:24" ht="12">
      <c r="A49" s="258" t="s">
        <v>399</v>
      </c>
      <c r="B49" s="78">
        <f>'2022 CF'!T94</f>
        <v>315590198.31</v>
      </c>
      <c r="C49" s="78"/>
      <c r="D49" s="78"/>
      <c r="E49" s="78"/>
      <c r="F49" s="78"/>
      <c r="G49" s="78"/>
      <c r="H49" s="78"/>
      <c r="I49" s="78"/>
      <c r="J49" s="78"/>
      <c r="K49" s="8"/>
      <c r="L49" s="78"/>
      <c r="M49" s="267"/>
      <c r="N49" s="78"/>
      <c r="O49" s="78"/>
      <c r="P49" s="267"/>
      <c r="Q49" s="78"/>
      <c r="R49" s="78"/>
      <c r="S49" s="78"/>
      <c r="T49" s="78"/>
      <c r="U49" s="78"/>
      <c r="V49" s="239"/>
      <c r="W49" s="78"/>
      <c r="X49" s="251"/>
    </row>
    <row r="50" spans="1:24" ht="12">
      <c r="A50" s="258" t="s">
        <v>128</v>
      </c>
      <c r="B50" s="78">
        <f>'2023 CF'!T98</f>
        <v>2403738397.4299998</v>
      </c>
      <c r="C50" s="78">
        <v>1873319179.1600001</v>
      </c>
      <c r="D50" s="78">
        <v>1756580668</v>
      </c>
      <c r="E50" s="78">
        <v>1844727688.3000002</v>
      </c>
      <c r="F50" s="78">
        <v>2481381410.8499999</v>
      </c>
      <c r="G50" s="78">
        <v>2644975579</v>
      </c>
      <c r="H50" s="78">
        <v>1571292238.1500001</v>
      </c>
      <c r="I50" s="78">
        <v>2201486119.4400001</v>
      </c>
      <c r="J50" s="78">
        <v>2440169300</v>
      </c>
      <c r="K50" s="8">
        <v>2373598300</v>
      </c>
      <c r="L50" s="78">
        <v>1282771000</v>
      </c>
      <c r="M50" s="267">
        <v>951896000</v>
      </c>
      <c r="N50" s="78">
        <v>1135180000</v>
      </c>
      <c r="O50" s="78">
        <v>1528909710.3000002</v>
      </c>
      <c r="P50" s="267">
        <v>1734920489.2</v>
      </c>
      <c r="Q50" s="78"/>
      <c r="R50" s="78"/>
      <c r="S50" s="78"/>
      <c r="T50" s="78"/>
      <c r="U50" s="78"/>
      <c r="V50" s="239"/>
      <c r="W50" s="78"/>
      <c r="X50" s="251"/>
    </row>
    <row r="51" spans="1:24" ht="12">
      <c r="A51" s="258"/>
      <c r="B51" s="78">
        <f>SUM(B8:B50)</f>
        <v>6304463450.6499996</v>
      </c>
      <c r="C51" s="78">
        <v>5934395837.3999996</v>
      </c>
      <c r="D51" s="78">
        <v>6207742918.8999996</v>
      </c>
      <c r="E51" s="78">
        <v>6420558409.0945005</v>
      </c>
      <c r="F51" s="78">
        <v>6873330023.3945007</v>
      </c>
      <c r="G51" s="78">
        <v>6281389530.1499996</v>
      </c>
      <c r="H51" s="78">
        <v>7634459758.04</v>
      </c>
      <c r="I51" s="9">
        <v>6561415028.2000008</v>
      </c>
      <c r="J51" s="9">
        <v>6459406313</v>
      </c>
      <c r="K51" s="8">
        <v>5276952525</v>
      </c>
      <c r="L51" s="78">
        <v>4717858331.6000004</v>
      </c>
      <c r="M51" s="78">
        <v>5390400333.6000004</v>
      </c>
      <c r="N51" s="78">
        <v>5789638391.1499996</v>
      </c>
      <c r="O51" s="78">
        <v>5407133423.6500006</v>
      </c>
      <c r="P51" s="267">
        <v>4469135614.3500004</v>
      </c>
      <c r="Q51" s="78">
        <v>2761268210.4877172</v>
      </c>
      <c r="R51" s="78">
        <v>2705835313</v>
      </c>
      <c r="S51" s="78">
        <v>2769519169</v>
      </c>
      <c r="T51" s="78">
        <v>2598659516.5500002</v>
      </c>
      <c r="U51" s="78">
        <v>2154684751.5500002</v>
      </c>
      <c r="V51" s="239">
        <v>1826186494</v>
      </c>
      <c r="W51" s="78">
        <v>1662576350</v>
      </c>
      <c r="X51" s="251">
        <v>1322304905</v>
      </c>
    </row>
    <row r="52" spans="1:24" ht="12.6" thickBot="1">
      <c r="A52" s="260"/>
      <c r="B52" s="467"/>
      <c r="C52" s="395"/>
      <c r="D52" s="395"/>
      <c r="E52" s="261"/>
      <c r="F52" s="261"/>
      <c r="G52" s="261">
        <v>0.99999999971821518</v>
      </c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2"/>
      <c r="W52" s="263"/>
      <c r="X52" s="264"/>
    </row>
    <row r="53" spans="1:24" ht="13.2">
      <c r="A53" s="1"/>
      <c r="B53" s="1"/>
      <c r="C53" s="1"/>
      <c r="D53" s="1"/>
      <c r="E53" s="1">
        <v>0.9999999998520378</v>
      </c>
      <c r="F53" s="1">
        <v>1.0000000000879488</v>
      </c>
      <c r="G53" s="1"/>
      <c r="H53" s="1"/>
      <c r="I53" s="85">
        <v>4848200159.04</v>
      </c>
      <c r="J53" s="1"/>
      <c r="K53" s="1"/>
      <c r="L53" s="1"/>
      <c r="M53">
        <v>653270937.39999998</v>
      </c>
      <c r="N53" s="265"/>
      <c r="O53" s="78"/>
      <c r="P53" s="78"/>
      <c r="Q53" s="78"/>
      <c r="R53">
        <v>1621413093.6500001</v>
      </c>
      <c r="S53" s="78"/>
      <c r="T53" s="147"/>
      <c r="U53" s="147"/>
      <c r="X53" s="266"/>
    </row>
    <row r="54" spans="1:24" ht="12">
      <c r="A54" t="s">
        <v>10</v>
      </c>
      <c r="I54" s="265"/>
      <c r="J54">
        <v>2440169300</v>
      </c>
      <c r="K54">
        <v>2373598300</v>
      </c>
      <c r="L54">
        <v>2024812688</v>
      </c>
      <c r="M54" s="78"/>
      <c r="N54" s="265"/>
      <c r="O54" s="265">
        <v>1528909710.3000002</v>
      </c>
      <c r="P54">
        <v>1734920489.2</v>
      </c>
      <c r="Q54" s="78">
        <v>18660702.037717462</v>
      </c>
      <c r="R54" s="78"/>
      <c r="S54">
        <v>1384280849.5</v>
      </c>
    </row>
    <row r="55" spans="1:24" ht="12">
      <c r="A55" s="1" t="s">
        <v>132</v>
      </c>
      <c r="B55" s="1"/>
      <c r="C55" s="173">
        <v>1374754330.8399999</v>
      </c>
      <c r="D55" s="1">
        <v>1473102822</v>
      </c>
      <c r="E55" s="1">
        <v>1199839816.7</v>
      </c>
      <c r="F55" s="1">
        <v>532312314.14999998</v>
      </c>
      <c r="G55" s="1">
        <v>327007000</v>
      </c>
      <c r="H55" s="1">
        <v>1214967360.8499999</v>
      </c>
      <c r="I55" s="1">
        <v>545425279.55999994</v>
      </c>
      <c r="J55" s="78">
        <v>255526500</v>
      </c>
      <c r="K55" s="78">
        <v>271221000</v>
      </c>
      <c r="L55" s="78">
        <v>450811597</v>
      </c>
      <c r="M55">
        <v>690691078</v>
      </c>
      <c r="N55" s="265">
        <v>246387499.69999999</v>
      </c>
      <c r="O55" s="78">
        <v>701497469.69999993</v>
      </c>
      <c r="P55" s="78">
        <v>454507170.80000001</v>
      </c>
      <c r="Q55" s="78">
        <v>970197105.10000002</v>
      </c>
      <c r="R55">
        <v>1998161555</v>
      </c>
      <c r="S55" s="78">
        <v>1828797440</v>
      </c>
      <c r="T55" s="147">
        <v>1799201760</v>
      </c>
      <c r="U55" s="147">
        <v>1919439720</v>
      </c>
      <c r="V55">
        <v>1670078156</v>
      </c>
    </row>
    <row r="56" spans="1:24" ht="12">
      <c r="A56" s="1" t="s">
        <v>133</v>
      </c>
      <c r="B56" s="1"/>
      <c r="C56" s="173">
        <v>1833726695.51</v>
      </c>
      <c r="D56" s="78">
        <v>1907960729.5</v>
      </c>
      <c r="E56" s="78">
        <v>2160654107.2744999</v>
      </c>
      <c r="F56" s="78">
        <v>2665474904.2000003</v>
      </c>
      <c r="G56" s="78">
        <v>1620074732.3600001</v>
      </c>
      <c r="H56" s="78">
        <v>2595250445.27</v>
      </c>
      <c r="I56" s="78">
        <v>867863589.60000002</v>
      </c>
      <c r="J56" s="78">
        <v>1766793183.8</v>
      </c>
      <c r="K56" s="78">
        <v>892560804</v>
      </c>
      <c r="L56" s="78">
        <v>584579150.79999995</v>
      </c>
      <c r="M56" s="78">
        <v>653270937.39999998</v>
      </c>
      <c r="N56" s="78">
        <v>964230709</v>
      </c>
      <c r="O56" s="78">
        <v>859699500</v>
      </c>
      <c r="P56" s="78">
        <v>320322200</v>
      </c>
      <c r="Q56" s="78"/>
      <c r="R56" s="78"/>
      <c r="S56" s="78"/>
      <c r="T56" s="78"/>
      <c r="U56" s="78"/>
      <c r="V56" s="78"/>
    </row>
    <row r="57" spans="1:24" ht="12">
      <c r="A57" s="1" t="s">
        <v>134</v>
      </c>
      <c r="B57" s="1"/>
      <c r="C57" s="173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>
        <v>398500000</v>
      </c>
      <c r="P57" s="78">
        <v>281500000</v>
      </c>
      <c r="Q57" s="78"/>
      <c r="S57" s="78"/>
      <c r="T57" s="78"/>
      <c r="U57" s="78"/>
      <c r="V57" s="78"/>
    </row>
    <row r="58" spans="1:24" ht="12">
      <c r="A58" s="1" t="s">
        <v>135</v>
      </c>
      <c r="B58" s="1"/>
      <c r="C58" s="173">
        <v>1873319179.1600001</v>
      </c>
      <c r="D58" s="1">
        <v>1756580668</v>
      </c>
      <c r="E58" s="1">
        <v>1844727688.3</v>
      </c>
      <c r="F58" s="78"/>
      <c r="G58" s="1"/>
      <c r="H58" s="1"/>
      <c r="I58" s="1"/>
      <c r="J58" s="1"/>
      <c r="K58" s="1"/>
      <c r="L58" s="1"/>
      <c r="M58">
        <v>1444090712.5999999</v>
      </c>
      <c r="N58" s="265">
        <v>1382940643</v>
      </c>
      <c r="O58" s="78">
        <v>1918526743.3499999</v>
      </c>
      <c r="P58" s="78">
        <v>1677885754.3499999</v>
      </c>
      <c r="Q58" s="78">
        <v>1772410403.3499999</v>
      </c>
      <c r="R58">
        <v>707673758</v>
      </c>
      <c r="S58" s="78">
        <v>940721729</v>
      </c>
      <c r="T58" s="78">
        <v>799457756.54999995</v>
      </c>
      <c r="U58" s="78">
        <v>235245031.55000001</v>
      </c>
      <c r="V58" s="78">
        <v>156108338</v>
      </c>
    </row>
    <row r="59" spans="1:24" ht="12">
      <c r="A59" s="1"/>
      <c r="B59" s="1"/>
      <c r="C59" s="173"/>
      <c r="D59" s="144"/>
      <c r="E59" s="144"/>
      <c r="F59" s="1"/>
      <c r="G59" s="1"/>
      <c r="H59" s="1"/>
      <c r="I59" s="1"/>
      <c r="J59" s="1"/>
      <c r="K59" s="1"/>
      <c r="L59" s="1"/>
      <c r="M59" s="267"/>
      <c r="N59" s="78"/>
      <c r="O59" s="78">
        <v>5407133423.3500004</v>
      </c>
      <c r="P59" s="78">
        <v>4469135614.3500004</v>
      </c>
      <c r="Q59" s="78">
        <v>2761268210.4877176</v>
      </c>
      <c r="R59" s="78">
        <v>2705835313</v>
      </c>
      <c r="S59" s="78">
        <v>2769519169</v>
      </c>
      <c r="T59" s="78">
        <v>2598659516.5500002</v>
      </c>
      <c r="U59" s="78">
        <v>2154684751.5500002</v>
      </c>
      <c r="V59" s="78">
        <v>1826186494</v>
      </c>
    </row>
    <row r="60" spans="1:24" ht="12">
      <c r="C60" s="275"/>
      <c r="N60" s="265"/>
      <c r="O60" s="78"/>
      <c r="P60" s="83"/>
      <c r="Q60" s="83"/>
      <c r="R60" s="83"/>
      <c r="S60" s="83"/>
      <c r="T60" s="83"/>
      <c r="U60" s="83"/>
      <c r="V60" s="83"/>
    </row>
    <row r="61" spans="1:24">
      <c r="A61" t="s">
        <v>136</v>
      </c>
      <c r="C61" s="275">
        <v>3208481026.3499999</v>
      </c>
      <c r="D61">
        <v>3381063551.5</v>
      </c>
      <c r="E61" s="265"/>
      <c r="H61">
        <v>3810217806.1199999</v>
      </c>
      <c r="K61" s="265"/>
      <c r="L61" s="265"/>
      <c r="M61">
        <v>1343962015.4000001</v>
      </c>
      <c r="N61" s="265">
        <v>1210618208.7</v>
      </c>
      <c r="O61" s="265">
        <v>1959696969.6999998</v>
      </c>
      <c r="Q61">
        <v>0.47748921283094414</v>
      </c>
      <c r="R61">
        <v>1</v>
      </c>
      <c r="S61">
        <v>1</v>
      </c>
    </row>
    <row r="62" spans="1:24" ht="12">
      <c r="A62" s="1"/>
      <c r="B62" s="1"/>
      <c r="C62" s="78"/>
      <c r="D62" s="78"/>
      <c r="E62" s="1"/>
      <c r="F62" s="1"/>
      <c r="G62" s="1"/>
      <c r="H62" s="78"/>
      <c r="I62" s="1"/>
      <c r="J62" s="1"/>
      <c r="K62" s="1"/>
      <c r="L62" s="1"/>
      <c r="M62" s="78">
        <v>533175100</v>
      </c>
      <c r="N62" s="78"/>
      <c r="O62" s="78"/>
      <c r="Q62" s="268">
        <v>2.4307701250055427</v>
      </c>
      <c r="R62" s="268">
        <v>0.999660976358409</v>
      </c>
      <c r="S62" s="147">
        <v>1</v>
      </c>
    </row>
    <row r="63" spans="1:24" ht="12">
      <c r="H63">
        <v>-1.4901161193847656E-7</v>
      </c>
      <c r="M63" s="78"/>
      <c r="Q63" s="268">
        <v>1.000086924188901</v>
      </c>
      <c r="R63" s="268">
        <v>0.9999113108571327</v>
      </c>
      <c r="S63" s="147">
        <v>1</v>
      </c>
      <c r="W63" s="269"/>
    </row>
    <row r="64" spans="1:24" ht="12">
      <c r="E64" s="207"/>
      <c r="F64" s="207"/>
      <c r="G64" s="207">
        <v>1</v>
      </c>
      <c r="H64" s="265"/>
      <c r="I64">
        <v>0.82037716162898355</v>
      </c>
      <c r="Q64" s="270"/>
      <c r="R64" s="270"/>
      <c r="S64" s="271"/>
      <c r="W64" s="272"/>
    </row>
    <row r="65" spans="1:24" ht="12">
      <c r="A65" t="s">
        <v>137</v>
      </c>
      <c r="E65">
        <v>0</v>
      </c>
      <c r="F65">
        <v>0</v>
      </c>
      <c r="G65">
        <v>0.76999998092651367</v>
      </c>
      <c r="H65">
        <v>0.9999997615814209</v>
      </c>
      <c r="W65" s="273"/>
    </row>
    <row r="66" spans="1:24" ht="12">
      <c r="A66" s="1" t="s">
        <v>138</v>
      </c>
      <c r="B66" s="1"/>
      <c r="C66" s="1"/>
      <c r="D66" s="1"/>
      <c r="E66" s="85">
        <v>0.94999992847442627</v>
      </c>
      <c r="F66" s="85">
        <v>-0.6045001745223999</v>
      </c>
      <c r="G66" s="85"/>
      <c r="H66" s="78">
        <v>-8.9406967163085938E-8</v>
      </c>
      <c r="I66" s="78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W66" s="272"/>
    </row>
    <row r="67" spans="1:24" ht="12">
      <c r="A67" s="1"/>
      <c r="B67" s="1"/>
      <c r="C67" s="1"/>
      <c r="D67" s="1"/>
      <c r="E67" s="78"/>
      <c r="F67" s="267"/>
      <c r="G67" s="267"/>
      <c r="H67" s="78"/>
      <c r="I67" s="78"/>
      <c r="J67" s="78"/>
      <c r="K67" s="267"/>
      <c r="L67" s="267"/>
      <c r="M67" s="267"/>
      <c r="N67" s="267"/>
      <c r="O67" s="267"/>
      <c r="P67" s="267"/>
      <c r="Q67" s="267"/>
      <c r="R67" s="267"/>
      <c r="S67" s="267"/>
      <c r="W67" s="1"/>
    </row>
    <row r="68" spans="1:24">
      <c r="J68" s="265"/>
    </row>
    <row r="69" spans="1:24">
      <c r="H69">
        <v>2017</v>
      </c>
      <c r="I69">
        <v>2016</v>
      </c>
      <c r="J69" s="274">
        <v>2015</v>
      </c>
      <c r="K69" s="275">
        <v>2014</v>
      </c>
      <c r="L69" s="275">
        <v>2013</v>
      </c>
      <c r="M69">
        <v>2012</v>
      </c>
      <c r="N69">
        <v>2011</v>
      </c>
      <c r="O69">
        <v>2010</v>
      </c>
      <c r="P69">
        <v>2009</v>
      </c>
      <c r="Q69">
        <v>2008</v>
      </c>
      <c r="R69">
        <v>2007</v>
      </c>
      <c r="S69">
        <v>2006</v>
      </c>
      <c r="T69">
        <v>2005</v>
      </c>
      <c r="U69">
        <v>2004</v>
      </c>
      <c r="V69">
        <v>2003</v>
      </c>
      <c r="W69" t="s">
        <v>129</v>
      </c>
      <c r="X69" t="s">
        <v>130</v>
      </c>
    </row>
    <row r="70" spans="1:24">
      <c r="A70" t="s">
        <v>56</v>
      </c>
      <c r="H70" s="225">
        <v>3029932174.5700002</v>
      </c>
      <c r="I70" s="225">
        <v>310068279.56</v>
      </c>
      <c r="J70" s="225">
        <v>1282090213</v>
      </c>
      <c r="K70" s="225">
        <v>726532000</v>
      </c>
      <c r="L70" s="225">
        <v>675757940</v>
      </c>
      <c r="M70" s="225">
        <v>762006178</v>
      </c>
      <c r="N70" s="225">
        <v>917248209</v>
      </c>
      <c r="O70" s="225">
        <v>399142544</v>
      </c>
      <c r="P70" s="225">
        <v>326297020</v>
      </c>
      <c r="Q70" s="225">
        <v>134240000</v>
      </c>
      <c r="R70" s="225">
        <v>627287536.5</v>
      </c>
      <c r="S70" s="225">
        <v>618272849.5</v>
      </c>
      <c r="T70" s="225">
        <v>273345311</v>
      </c>
      <c r="U70" s="225">
        <v>352404145</v>
      </c>
      <c r="V70" s="225">
        <v>271521463</v>
      </c>
      <c r="W70" s="225">
        <v>453396662</v>
      </c>
      <c r="X70" s="225">
        <v>418475905</v>
      </c>
    </row>
    <row r="71" spans="1:24" ht="12">
      <c r="A71" s="1" t="s">
        <v>57</v>
      </c>
      <c r="B71" s="1"/>
      <c r="C71" s="1"/>
      <c r="D71" s="1"/>
      <c r="E71" s="1"/>
      <c r="F71" s="1"/>
      <c r="G71" s="1"/>
      <c r="H71" s="265"/>
      <c r="I71" s="265"/>
      <c r="J71" s="265"/>
      <c r="K71" s="265"/>
      <c r="L71" s="265"/>
      <c r="M71" s="78">
        <v>99995837.400000006</v>
      </c>
      <c r="N71" s="78">
        <v>124994999.7</v>
      </c>
      <c r="O71" s="78">
        <v>95279609.400000006</v>
      </c>
      <c r="P71" s="78">
        <v>24999100.800000001</v>
      </c>
      <c r="Q71" s="78">
        <v>74997184.099999994</v>
      </c>
      <c r="R71" s="78">
        <v>99999895.150000006</v>
      </c>
      <c r="S71" s="78">
        <v>0</v>
      </c>
      <c r="T71" s="78">
        <v>0</v>
      </c>
      <c r="U71" s="78">
        <v>25000000</v>
      </c>
      <c r="V71" s="78">
        <v>100000000</v>
      </c>
      <c r="W71" s="78">
        <v>120000000</v>
      </c>
      <c r="X71" s="78">
        <v>0</v>
      </c>
    </row>
    <row r="72" spans="1:24" ht="12">
      <c r="A72" s="1" t="s">
        <v>58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78">
        <v>10000000</v>
      </c>
      <c r="N72" s="78">
        <v>13300000</v>
      </c>
      <c r="O72" s="78">
        <v>3440000</v>
      </c>
      <c r="P72" s="78">
        <v>16043250</v>
      </c>
      <c r="Q72" s="78">
        <v>40869207</v>
      </c>
      <c r="R72" s="78">
        <v>19402500</v>
      </c>
      <c r="S72" s="78">
        <v>0</v>
      </c>
      <c r="T72" s="78">
        <v>7225000</v>
      </c>
      <c r="U72" s="78">
        <v>10000000</v>
      </c>
      <c r="V72" s="78">
        <v>3700000</v>
      </c>
      <c r="W72" s="78">
        <v>0</v>
      </c>
      <c r="X72" s="78">
        <v>0</v>
      </c>
    </row>
    <row r="73" spans="1:24" ht="12">
      <c r="A73" s="1" t="s">
        <v>59</v>
      </c>
      <c r="B73" s="1"/>
      <c r="C73" s="1"/>
      <c r="D73" s="1"/>
      <c r="E73" s="1"/>
      <c r="F73" s="1"/>
      <c r="G73" s="1"/>
      <c r="H73" s="1">
        <v>601072000</v>
      </c>
      <c r="I73" s="1">
        <v>578830500</v>
      </c>
      <c r="J73" s="1">
        <v>497506500</v>
      </c>
      <c r="K73" s="1">
        <v>197095000</v>
      </c>
      <c r="L73" s="1">
        <v>173205000</v>
      </c>
      <c r="M73" s="78">
        <v>110425000</v>
      </c>
      <c r="N73" s="78">
        <v>69875000</v>
      </c>
      <c r="O73" s="78">
        <v>36325000</v>
      </c>
      <c r="P73" s="78">
        <v>28690000</v>
      </c>
      <c r="Q73" s="78">
        <v>124665714</v>
      </c>
      <c r="R73" s="78">
        <v>368269000</v>
      </c>
      <c r="S73" s="78">
        <v>431337562</v>
      </c>
      <c r="T73" s="78">
        <v>537100000</v>
      </c>
      <c r="U73" s="78">
        <v>482250000</v>
      </c>
      <c r="V73" s="78">
        <v>512176000</v>
      </c>
      <c r="W73" s="78">
        <v>365185169</v>
      </c>
      <c r="X73" s="78">
        <v>319584000</v>
      </c>
    </row>
    <row r="74" spans="1:24" ht="12">
      <c r="A74" s="1" t="s">
        <v>60</v>
      </c>
      <c r="B74" s="1"/>
      <c r="C74" s="1"/>
      <c r="D74" s="1"/>
      <c r="E74" s="1"/>
      <c r="F74" s="1"/>
      <c r="G74" s="1"/>
      <c r="H74" s="78"/>
      <c r="I74" s="78"/>
      <c r="J74" s="78"/>
      <c r="K74" s="78"/>
      <c r="L74" s="78"/>
      <c r="M74" s="78">
        <v>0</v>
      </c>
      <c r="N74" s="78">
        <v>0</v>
      </c>
      <c r="O74" s="78">
        <v>293850000</v>
      </c>
      <c r="P74" s="78">
        <v>0</v>
      </c>
      <c r="Q74" s="78">
        <v>58500000</v>
      </c>
      <c r="R74" s="78">
        <v>240405000</v>
      </c>
      <c r="S74" s="78">
        <v>191945000</v>
      </c>
      <c r="T74" s="78">
        <v>656050000</v>
      </c>
      <c r="U74" s="78">
        <v>296200000</v>
      </c>
      <c r="V74" s="78">
        <v>140000000</v>
      </c>
      <c r="W74" s="78">
        <v>139500000</v>
      </c>
      <c r="X74" s="78">
        <v>136840000</v>
      </c>
    </row>
    <row r="75" spans="1:24" ht="12">
      <c r="A75" s="1" t="s">
        <v>61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78">
        <v>361535000</v>
      </c>
      <c r="N75" s="78">
        <v>85200000</v>
      </c>
      <c r="O75" s="78">
        <v>588510316.29999995</v>
      </c>
      <c r="P75" s="78">
        <v>358800000</v>
      </c>
      <c r="Q75" s="78">
        <v>658300000</v>
      </c>
      <c r="R75" s="78">
        <v>571735471</v>
      </c>
      <c r="S75" s="78">
        <v>725050000</v>
      </c>
      <c r="T75" s="78">
        <v>144625000</v>
      </c>
      <c r="U75" s="78">
        <v>189355000</v>
      </c>
      <c r="V75" s="78">
        <v>413585000</v>
      </c>
      <c r="W75" s="78">
        <v>391800000</v>
      </c>
      <c r="X75" s="78">
        <v>384205000</v>
      </c>
    </row>
    <row r="76" spans="1:24" ht="12">
      <c r="A76" s="1" t="s">
        <v>139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78">
        <v>853943988</v>
      </c>
      <c r="N76" s="78">
        <v>520447605</v>
      </c>
      <c r="O76" s="78">
        <v>146632500.35000002</v>
      </c>
      <c r="P76" s="78">
        <v>236080000</v>
      </c>
      <c r="Q76" s="78">
        <v>101327449</v>
      </c>
      <c r="R76" s="78">
        <v>49580000</v>
      </c>
      <c r="S76" s="78">
        <v>95000000</v>
      </c>
      <c r="T76" s="78">
        <v>39592476.549999997</v>
      </c>
      <c r="U76" s="78">
        <v>17850</v>
      </c>
      <c r="V76" s="78">
        <v>0</v>
      </c>
      <c r="W76" s="78">
        <v>0</v>
      </c>
      <c r="X76" s="78">
        <v>0</v>
      </c>
    </row>
    <row r="77" spans="1:24" ht="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78">
        <v>2395986712.5999999</v>
      </c>
      <c r="N77" s="78">
        <v>2088812600.45</v>
      </c>
      <c r="O77" s="78">
        <v>1563179970.0499997</v>
      </c>
      <c r="P77" s="78">
        <v>990909370.79999995</v>
      </c>
      <c r="Q77" s="78">
        <v>1192899554.0999999</v>
      </c>
      <c r="R77" s="78">
        <v>1976679402.6500001</v>
      </c>
      <c r="S77" s="78">
        <v>2061605411.5</v>
      </c>
      <c r="T77" s="78">
        <v>1657937787.55</v>
      </c>
      <c r="U77" s="78">
        <v>1355226995</v>
      </c>
      <c r="V77" s="78">
        <v>1440982463</v>
      </c>
      <c r="W77" s="78">
        <v>1469881831</v>
      </c>
      <c r="X77" s="78">
        <v>1259104905</v>
      </c>
    </row>
    <row r="78" spans="1:24" ht="12">
      <c r="I78">
        <v>4848200159.04</v>
      </c>
      <c r="M78" s="267"/>
      <c r="N78" s="267"/>
      <c r="O78" s="78">
        <v>3092089680.3499999</v>
      </c>
      <c r="P78" s="78"/>
      <c r="Q78" s="78"/>
      <c r="R78" s="78"/>
      <c r="S78" s="78"/>
      <c r="T78" s="78"/>
      <c r="U78" s="78"/>
      <c r="V78" s="78"/>
      <c r="W78" s="78"/>
      <c r="X78" s="78"/>
    </row>
    <row r="79" spans="1:24" ht="12">
      <c r="I79" s="265"/>
      <c r="O79" s="85"/>
    </row>
    <row r="80" spans="1:24">
      <c r="A80" t="s">
        <v>140</v>
      </c>
    </row>
    <row r="81" spans="1:20" ht="12">
      <c r="A81" s="1" t="s">
        <v>56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>
        <v>228831078</v>
      </c>
      <c r="N81">
        <v>105842500</v>
      </c>
      <c r="O81">
        <v>66142544</v>
      </c>
      <c r="P81">
        <v>54664820</v>
      </c>
      <c r="Q81">
        <v>99000000</v>
      </c>
    </row>
    <row r="82" spans="1:20" ht="12">
      <c r="A82" s="1" t="s">
        <v>57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85">
        <v>0</v>
      </c>
      <c r="N82" s="85">
        <v>74994999.700000003</v>
      </c>
      <c r="O82" s="85">
        <v>95279609.400000006</v>
      </c>
      <c r="P82" s="85">
        <v>24999100.800000001</v>
      </c>
      <c r="Q82" s="85">
        <v>74997184.099999994</v>
      </c>
    </row>
    <row r="83" spans="1:20" ht="12">
      <c r="A83" s="1" t="s">
        <v>58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67">
        <v>10000000</v>
      </c>
      <c r="N83" s="267">
        <v>13300000</v>
      </c>
      <c r="O83" s="267">
        <v>3440000</v>
      </c>
      <c r="P83" s="267">
        <v>16043250</v>
      </c>
      <c r="Q83" s="267">
        <v>40869207</v>
      </c>
    </row>
    <row r="84" spans="1:20" ht="12">
      <c r="A84" s="1" t="s">
        <v>59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67">
        <v>90325000</v>
      </c>
      <c r="N84" s="267">
        <v>7250000</v>
      </c>
      <c r="O84" s="267">
        <v>5275000</v>
      </c>
      <c r="P84" s="267">
        <v>0</v>
      </c>
      <c r="Q84" s="267">
        <v>38530714</v>
      </c>
    </row>
    <row r="85" spans="1:20" ht="12">
      <c r="A85" s="1" t="s">
        <v>60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67">
        <v>0</v>
      </c>
      <c r="N85" s="267">
        <v>0</v>
      </c>
      <c r="O85" s="267">
        <v>85850000</v>
      </c>
      <c r="P85" s="267">
        <v>0</v>
      </c>
      <c r="Q85" s="267">
        <v>58500000</v>
      </c>
    </row>
    <row r="86" spans="1:20" ht="12">
      <c r="A86" s="1" t="s">
        <v>61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67">
        <v>361535000</v>
      </c>
      <c r="N86" s="267">
        <v>45000000</v>
      </c>
      <c r="O86" s="267">
        <v>445510316.30000001</v>
      </c>
      <c r="P86" s="267">
        <v>358800000</v>
      </c>
      <c r="Q86" s="267">
        <v>658300000</v>
      </c>
    </row>
    <row r="87" spans="1:20" ht="12">
      <c r="A87" s="1" t="s">
        <v>77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67">
        <v>951896000</v>
      </c>
      <c r="N87" s="267">
        <v>1135180000</v>
      </c>
      <c r="O87" s="267">
        <v>1528909710.3000002</v>
      </c>
      <c r="P87" s="267">
        <v>1734920489.2</v>
      </c>
      <c r="Q87" s="267">
        <v>1043014493</v>
      </c>
    </row>
    <row r="88" spans="1:20" ht="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67"/>
      <c r="N88" s="267">
        <v>1381567499.7</v>
      </c>
      <c r="O88" s="267">
        <v>2230407180</v>
      </c>
      <c r="P88" s="267">
        <v>2189427660</v>
      </c>
      <c r="Q88" s="267">
        <v>2013211598.0999999</v>
      </c>
    </row>
    <row r="89" spans="1:20" ht="12">
      <c r="N89" s="85"/>
      <c r="O89" s="85"/>
      <c r="P89" s="85"/>
      <c r="Q89" s="85"/>
    </row>
    <row r="90" spans="1:20">
      <c r="N90">
        <v>-1007260795.3</v>
      </c>
      <c r="O90">
        <v>0</v>
      </c>
      <c r="P90">
        <v>0</v>
      </c>
      <c r="Q90">
        <v>-18660701.900000095</v>
      </c>
    </row>
    <row r="91" spans="1:20" ht="12">
      <c r="N91" s="85"/>
      <c r="O91" s="85"/>
      <c r="P91" s="85"/>
      <c r="Q91" s="85"/>
    </row>
    <row r="93" spans="1:20">
      <c r="H93">
        <v>4325052806.1199999</v>
      </c>
      <c r="I93">
        <v>1713214869.1599998</v>
      </c>
      <c r="J93">
        <v>2644902683.8000002</v>
      </c>
      <c r="K93">
        <v>1511242012</v>
      </c>
      <c r="L93">
        <v>2085725106.8</v>
      </c>
      <c r="M93">
        <v>2994413621</v>
      </c>
      <c r="N93">
        <v>2838332752.6999998</v>
      </c>
      <c r="O93">
        <v>2106329470.3500004</v>
      </c>
      <c r="P93">
        <v>1292409370.8</v>
      </c>
      <c r="Q93">
        <v>1211560256.1377172</v>
      </c>
      <c r="R93">
        <v>1976679402.6500001</v>
      </c>
      <c r="S93">
        <v>2061605411.5</v>
      </c>
      <c r="T93">
        <v>1657937787.55</v>
      </c>
    </row>
    <row r="94" spans="1:20">
      <c r="H94" s="265">
        <v>22723182948.867718</v>
      </c>
      <c r="I94" s="265">
        <v>20374809545.39772</v>
      </c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</row>
    <row r="95" spans="1:20">
      <c r="H95" s="265"/>
      <c r="I95" s="265"/>
    </row>
    <row r="96" spans="1:20">
      <c r="A96" t="s">
        <v>214</v>
      </c>
      <c r="E96">
        <v>82005055.920000136</v>
      </c>
    </row>
    <row r="97" spans="1:5">
      <c r="A97" t="s">
        <v>215</v>
      </c>
      <c r="E97" s="265">
        <v>2160654107.2744999</v>
      </c>
    </row>
    <row r="98" spans="1:5">
      <c r="A98" t="s">
        <v>216</v>
      </c>
      <c r="E98" s="265">
        <v>1133331740.9000001</v>
      </c>
    </row>
    <row r="99" spans="1:5">
      <c r="A99" t="s">
        <v>217</v>
      </c>
      <c r="E99" s="265">
        <v>1748704688</v>
      </c>
    </row>
    <row r="100" spans="1:5">
      <c r="A100" t="s">
        <v>218</v>
      </c>
      <c r="E100" s="265">
        <v>96023000.300000072</v>
      </c>
    </row>
    <row r="101" spans="1:5">
      <c r="A101" t="s">
        <v>219</v>
      </c>
      <c r="E101" s="342">
        <v>1844727688.3000002</v>
      </c>
    </row>
    <row r="102" spans="1:5">
      <c r="A102" t="s">
        <v>220</v>
      </c>
      <c r="E102" s="265">
        <v>1199839816.7</v>
      </c>
    </row>
    <row r="103" spans="1:5">
      <c r="E103" s="265"/>
    </row>
    <row r="104" spans="1:5">
      <c r="A104" t="s">
        <v>221</v>
      </c>
      <c r="E104">
        <v>3044567505</v>
      </c>
    </row>
    <row r="105" spans="1:5">
      <c r="A105" t="s">
        <v>222</v>
      </c>
      <c r="E105" s="343">
        <v>6420558409.0944996</v>
      </c>
    </row>
    <row r="106" spans="1:5">
      <c r="E106" s="343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dimension ref="A1:U74"/>
  <sheetViews>
    <sheetView zoomScaleNormal="100" workbookViewId="0">
      <selection activeCell="A9" sqref="A9:XFD9"/>
    </sheetView>
  </sheetViews>
  <sheetFormatPr defaultColWidth="9" defaultRowHeight="12"/>
  <cols>
    <col min="1" max="1" width="8.375" style="1" customWidth="1"/>
    <col min="2" max="2" width="6.625" style="1" bestFit="1" customWidth="1"/>
    <col min="3" max="3" width="9.25" style="1" bestFit="1" customWidth="1"/>
    <col min="4" max="4" width="13.25" style="1" bestFit="1" customWidth="1"/>
    <col min="5" max="5" width="43.875" style="1" bestFit="1" customWidth="1"/>
    <col min="6" max="6" width="55.375" style="1" bestFit="1" customWidth="1"/>
    <col min="7" max="7" width="15.875" style="1" bestFit="1" customWidth="1"/>
    <col min="8" max="8" width="15.375" style="1" customWidth="1"/>
    <col min="9" max="9" width="12.25" style="1" bestFit="1" customWidth="1"/>
    <col min="10" max="10" width="14.875" style="1" customWidth="1"/>
    <col min="11" max="11" width="14.625" style="1" customWidth="1"/>
    <col min="12" max="12" width="15.25" style="3" bestFit="1" customWidth="1"/>
    <col min="13" max="13" width="10.875" style="3" bestFit="1" customWidth="1"/>
    <col min="14" max="14" width="14.75" style="1" bestFit="1" customWidth="1"/>
    <col min="15" max="15" width="9.875" style="3" bestFit="1" customWidth="1"/>
    <col min="16" max="16" width="13.75" style="1" bestFit="1" customWidth="1"/>
    <col min="17" max="17" width="15.125" style="1" bestFit="1" customWidth="1"/>
    <col min="18" max="18" width="9.75" style="1" customWidth="1"/>
    <col min="19" max="19" width="9.125" style="13" bestFit="1" customWidth="1"/>
    <col min="20" max="20" width="41.625" style="1" bestFit="1" customWidth="1"/>
    <col min="21" max="21" width="18" style="1" bestFit="1" customWidth="1"/>
    <col min="22" max="16384" width="9" style="1"/>
  </cols>
  <sheetData>
    <row r="1" spans="1:21">
      <c r="A1" s="366">
        <v>43326</v>
      </c>
      <c r="B1" s="366"/>
      <c r="C1" s="366"/>
      <c r="D1" s="361"/>
      <c r="E1" s="468">
        <f>'SC1 MRB'!H34+'SC2 State Voted'!H13+'SC3 Small Issue IDBs'!H15+'SC4 TSAHC'!H20+'SC4 MF- TDHCA'!H26+'SC4 MF- Local Collapse'!H48+'SC5 OTHER'!H104</f>
        <v>1265593961.4299998</v>
      </c>
      <c r="F1" s="18"/>
      <c r="G1" s="18"/>
      <c r="H1" s="362"/>
      <c r="I1" s="362"/>
      <c r="J1" s="362"/>
      <c r="K1" s="19"/>
      <c r="L1" s="22"/>
      <c r="M1" s="427"/>
      <c r="N1" s="21"/>
      <c r="O1" s="22"/>
      <c r="P1" s="19"/>
      <c r="Q1" s="19"/>
      <c r="R1" s="6"/>
      <c r="S1" s="17"/>
      <c r="T1" s="304"/>
    </row>
    <row r="2" spans="1:21">
      <c r="A2" s="48" t="s">
        <v>223</v>
      </c>
      <c r="B2" s="48"/>
      <c r="C2" s="48"/>
      <c r="D2" s="5"/>
      <c r="E2" s="26"/>
      <c r="F2" s="26"/>
      <c r="G2" s="26"/>
      <c r="H2" s="363"/>
      <c r="I2" s="363"/>
      <c r="J2" s="363"/>
      <c r="K2" s="27"/>
      <c r="L2" s="11"/>
      <c r="M2" s="428"/>
      <c r="N2" s="36"/>
      <c r="O2" s="11"/>
      <c r="P2" s="27"/>
      <c r="Q2" s="27"/>
      <c r="R2" s="6"/>
      <c r="S2" s="5"/>
      <c r="T2" s="305"/>
    </row>
    <row r="3" spans="1:21">
      <c r="C3" s="48"/>
      <c r="D3" s="5"/>
      <c r="E3" s="26"/>
      <c r="F3" s="26"/>
      <c r="G3" s="26"/>
      <c r="H3" s="363"/>
      <c r="I3" s="363"/>
      <c r="J3" s="363"/>
      <c r="K3" s="27"/>
      <c r="L3" s="11"/>
      <c r="M3" s="11"/>
      <c r="N3" s="27"/>
      <c r="O3" s="11"/>
      <c r="P3" s="27"/>
      <c r="Q3" s="27"/>
      <c r="R3" s="6"/>
      <c r="S3" s="1"/>
      <c r="T3" s="306"/>
    </row>
    <row r="4" spans="1:2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76" t="s">
        <v>23</v>
      </c>
      <c r="I4" s="119" t="s">
        <v>38</v>
      </c>
      <c r="J4" s="75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224</v>
      </c>
      <c r="P4" s="32" t="s">
        <v>27</v>
      </c>
      <c r="Q4" s="32" t="s">
        <v>44</v>
      </c>
      <c r="R4" s="6" t="s">
        <v>22</v>
      </c>
      <c r="S4" s="5" t="s">
        <v>207</v>
      </c>
      <c r="T4" s="30" t="s">
        <v>600</v>
      </c>
    </row>
    <row r="5" spans="1:21">
      <c r="A5" s="31" t="s">
        <v>248</v>
      </c>
      <c r="B5" s="5" t="s">
        <v>248</v>
      </c>
      <c r="C5" s="5" t="s">
        <v>48</v>
      </c>
      <c r="D5" s="13"/>
      <c r="E5" s="5"/>
      <c r="F5" s="26"/>
      <c r="G5" s="26"/>
      <c r="H5" s="276" t="s">
        <v>42</v>
      </c>
      <c r="I5" s="119" t="s">
        <v>46</v>
      </c>
      <c r="J5" s="75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206</v>
      </c>
      <c r="T5" s="30" t="s">
        <v>601</v>
      </c>
    </row>
    <row r="6" spans="1:21" ht="12.6" thickBot="1">
      <c r="A6" s="38"/>
      <c r="B6" s="38"/>
      <c r="C6" s="33" t="s">
        <v>208</v>
      </c>
      <c r="D6" s="38"/>
      <c r="E6" s="33"/>
      <c r="F6" s="39"/>
      <c r="G6" s="39"/>
      <c r="H6" s="364"/>
      <c r="I6" s="364"/>
      <c r="J6" s="364"/>
      <c r="K6" s="56"/>
      <c r="L6" s="40"/>
      <c r="M6" s="40"/>
      <c r="N6" s="56"/>
      <c r="O6" s="40"/>
      <c r="P6" s="56"/>
      <c r="Q6" s="56"/>
      <c r="R6" s="56" t="s">
        <v>9</v>
      </c>
      <c r="S6" s="38"/>
      <c r="T6" s="466" t="s">
        <v>9</v>
      </c>
    </row>
    <row r="7" spans="1:21" s="13" customFormat="1" ht="13.5" customHeight="1">
      <c r="A7" s="13">
        <v>87</v>
      </c>
      <c r="B7" s="13">
        <v>95</v>
      </c>
      <c r="C7" s="13">
        <v>5070</v>
      </c>
      <c r="D7" s="13" t="s">
        <v>77</v>
      </c>
      <c r="E7" s="13" t="s">
        <v>471</v>
      </c>
      <c r="F7" s="36" t="s">
        <v>472</v>
      </c>
      <c r="G7" s="36" t="s">
        <v>80</v>
      </c>
      <c r="H7" s="318">
        <v>25000000</v>
      </c>
      <c r="I7" s="324" t="s">
        <v>147</v>
      </c>
      <c r="J7" s="10">
        <f>H7</f>
        <v>25000000</v>
      </c>
      <c r="K7" s="10">
        <f>J7</f>
        <v>25000000</v>
      </c>
      <c r="L7" s="420">
        <v>43698</v>
      </c>
      <c r="M7" s="11">
        <f>L7+35</f>
        <v>43733</v>
      </c>
      <c r="N7" s="318">
        <v>25000000</v>
      </c>
      <c r="O7" s="420">
        <f>L7+180</f>
        <v>43878</v>
      </c>
      <c r="P7" s="11"/>
      <c r="R7" s="11"/>
      <c r="S7" s="13" t="s">
        <v>410</v>
      </c>
      <c r="T7" s="532" t="s">
        <v>800</v>
      </c>
    </row>
    <row r="8" spans="1:21" s="13" customFormat="1" ht="13.5" customHeight="1">
      <c r="A8" s="13">
        <v>88</v>
      </c>
      <c r="B8" s="13">
        <v>96</v>
      </c>
      <c r="C8" s="13" t="s">
        <v>456</v>
      </c>
      <c r="D8" s="13" t="s">
        <v>203</v>
      </c>
      <c r="E8" s="13" t="s">
        <v>463</v>
      </c>
      <c r="F8" s="36" t="s">
        <v>473</v>
      </c>
      <c r="G8" s="36" t="s">
        <v>275</v>
      </c>
      <c r="H8" s="318">
        <v>0</v>
      </c>
      <c r="I8" s="324" t="s">
        <v>147</v>
      </c>
      <c r="J8" s="10">
        <v>0</v>
      </c>
      <c r="K8" s="10"/>
      <c r="L8" s="420"/>
      <c r="M8" s="11"/>
      <c r="N8" s="404"/>
      <c r="O8" s="420"/>
      <c r="P8" s="11"/>
      <c r="S8" s="13" t="s">
        <v>410</v>
      </c>
      <c r="T8" s="1" t="s">
        <v>801</v>
      </c>
    </row>
    <row r="9" spans="1:21" s="13" customFormat="1" ht="13.5" customHeight="1">
      <c r="A9" s="13">
        <v>90</v>
      </c>
      <c r="B9" s="13">
        <v>97</v>
      </c>
      <c r="C9" s="13">
        <v>5071</v>
      </c>
      <c r="D9" s="13" t="s">
        <v>77</v>
      </c>
      <c r="E9" s="13" t="s">
        <v>463</v>
      </c>
      <c r="F9" s="36" t="s">
        <v>474</v>
      </c>
      <c r="G9" s="36" t="s">
        <v>275</v>
      </c>
      <c r="H9" s="318">
        <v>48000000</v>
      </c>
      <c r="I9" s="324" t="s">
        <v>147</v>
      </c>
      <c r="J9" s="10">
        <f t="shared" ref="J9:J36" si="0">H9</f>
        <v>48000000</v>
      </c>
      <c r="K9" s="10">
        <f t="shared" ref="K9:K14" si="1">J9</f>
        <v>48000000</v>
      </c>
      <c r="L9" s="420">
        <v>43698</v>
      </c>
      <c r="M9" s="11">
        <f t="shared" ref="M9:M16" si="2">L9+35</f>
        <v>43733</v>
      </c>
      <c r="N9" s="318">
        <v>48000000</v>
      </c>
      <c r="O9" s="420">
        <f t="shared" ref="O9:O16" si="3">L9+180</f>
        <v>43878</v>
      </c>
      <c r="P9" s="11"/>
      <c r="S9" s="13" t="s">
        <v>410</v>
      </c>
      <c r="T9" s="532" t="s">
        <v>802</v>
      </c>
      <c r="U9" s="338" t="s">
        <v>806</v>
      </c>
    </row>
    <row r="10" spans="1:21" s="13" customFormat="1" ht="13.5" customHeight="1">
      <c r="A10" s="13">
        <v>94</v>
      </c>
      <c r="B10" s="13">
        <v>101</v>
      </c>
      <c r="C10" s="13">
        <v>5072</v>
      </c>
      <c r="D10" s="13" t="s">
        <v>77</v>
      </c>
      <c r="E10" s="13" t="s">
        <v>287</v>
      </c>
      <c r="F10" s="36" t="s">
        <v>500</v>
      </c>
      <c r="G10" s="36" t="s">
        <v>79</v>
      </c>
      <c r="H10" s="318">
        <v>50000000</v>
      </c>
      <c r="I10" s="324" t="s">
        <v>147</v>
      </c>
      <c r="J10" s="10">
        <f t="shared" si="0"/>
        <v>50000000</v>
      </c>
      <c r="K10" s="10">
        <f t="shared" si="1"/>
        <v>50000000</v>
      </c>
      <c r="L10" s="420">
        <v>43698</v>
      </c>
      <c r="M10" s="11">
        <f t="shared" si="2"/>
        <v>43733</v>
      </c>
      <c r="N10" s="318">
        <v>50000000</v>
      </c>
      <c r="O10" s="420">
        <f t="shared" si="3"/>
        <v>43878</v>
      </c>
      <c r="P10" s="11"/>
      <c r="S10" s="13" t="s">
        <v>410</v>
      </c>
      <c r="T10" s="532" t="s">
        <v>802</v>
      </c>
    </row>
    <row r="11" spans="1:21" s="13" customFormat="1" ht="13.95" customHeight="1">
      <c r="A11" s="13">
        <v>95</v>
      </c>
      <c r="B11" s="13">
        <v>102</v>
      </c>
      <c r="C11" s="13">
        <v>5073</v>
      </c>
      <c r="D11" s="13" t="s">
        <v>77</v>
      </c>
      <c r="E11" s="13" t="s">
        <v>276</v>
      </c>
      <c r="F11" s="36" t="s">
        <v>475</v>
      </c>
      <c r="G11" s="36" t="s">
        <v>80</v>
      </c>
      <c r="H11" s="318">
        <v>30000000</v>
      </c>
      <c r="I11" s="324" t="s">
        <v>147</v>
      </c>
      <c r="J11" s="10">
        <f t="shared" si="0"/>
        <v>30000000</v>
      </c>
      <c r="K11" s="10">
        <f t="shared" si="1"/>
        <v>30000000</v>
      </c>
      <c r="L11" s="420">
        <v>43698</v>
      </c>
      <c r="M11" s="11">
        <f t="shared" si="2"/>
        <v>43733</v>
      </c>
      <c r="N11" s="318">
        <v>30000000</v>
      </c>
      <c r="O11" s="420">
        <f t="shared" si="3"/>
        <v>43878</v>
      </c>
      <c r="P11" s="11"/>
      <c r="S11" s="13" t="s">
        <v>410</v>
      </c>
      <c r="T11" s="532" t="s">
        <v>802</v>
      </c>
    </row>
    <row r="12" spans="1:21" s="13" customFormat="1" ht="13.5" customHeight="1">
      <c r="A12" s="13">
        <v>96</v>
      </c>
      <c r="B12" s="13">
        <v>103</v>
      </c>
      <c r="C12" s="13">
        <v>5074</v>
      </c>
      <c r="D12" s="13" t="s">
        <v>77</v>
      </c>
      <c r="E12" s="13" t="s">
        <v>425</v>
      </c>
      <c r="F12" s="36" t="s">
        <v>451</v>
      </c>
      <c r="G12" s="36" t="s">
        <v>78</v>
      </c>
      <c r="H12" s="318">
        <v>35000000</v>
      </c>
      <c r="I12" s="324" t="s">
        <v>147</v>
      </c>
      <c r="J12" s="10">
        <f t="shared" si="0"/>
        <v>35000000</v>
      </c>
      <c r="K12" s="10">
        <f t="shared" si="1"/>
        <v>35000000</v>
      </c>
      <c r="L12" s="420">
        <v>43698</v>
      </c>
      <c r="M12" s="11">
        <f t="shared" si="2"/>
        <v>43733</v>
      </c>
      <c r="N12" s="318">
        <v>25000000</v>
      </c>
      <c r="O12" s="420">
        <f t="shared" si="3"/>
        <v>43878</v>
      </c>
      <c r="P12" s="11"/>
      <c r="Q12" s="10">
        <f>K12-N12</f>
        <v>10000000</v>
      </c>
      <c r="R12" s="11">
        <v>43726</v>
      </c>
      <c r="S12" s="13" t="s">
        <v>410</v>
      </c>
      <c r="T12" s="532" t="s">
        <v>802</v>
      </c>
    </row>
    <row r="13" spans="1:21" s="13" customFormat="1" ht="13.5" customHeight="1">
      <c r="A13" s="13">
        <v>101</v>
      </c>
      <c r="B13" s="13">
        <v>106</v>
      </c>
      <c r="C13" s="13" t="s">
        <v>459</v>
      </c>
      <c r="D13" s="13" t="s">
        <v>203</v>
      </c>
      <c r="E13" s="13" t="s">
        <v>276</v>
      </c>
      <c r="F13" s="36" t="s">
        <v>476</v>
      </c>
      <c r="G13" s="36" t="s">
        <v>80</v>
      </c>
      <c r="H13" s="318">
        <v>0</v>
      </c>
      <c r="I13" s="324" t="s">
        <v>147</v>
      </c>
      <c r="J13" s="10">
        <f>H13</f>
        <v>0</v>
      </c>
      <c r="K13" s="10"/>
      <c r="L13" s="420"/>
      <c r="M13" s="11"/>
      <c r="N13" s="404"/>
      <c r="O13" s="420"/>
      <c r="P13" s="11"/>
      <c r="S13" s="13" t="s">
        <v>410</v>
      </c>
      <c r="T13" s="43"/>
    </row>
    <row r="14" spans="1:21" s="13" customFormat="1" ht="13.5" customHeight="1">
      <c r="A14" s="13">
        <v>102</v>
      </c>
      <c r="B14" s="13">
        <v>107</v>
      </c>
      <c r="C14" s="13">
        <v>5075</v>
      </c>
      <c r="D14" s="13" t="s">
        <v>77</v>
      </c>
      <c r="E14" s="13" t="s">
        <v>276</v>
      </c>
      <c r="F14" s="36" t="s">
        <v>279</v>
      </c>
      <c r="G14" s="36" t="s">
        <v>80</v>
      </c>
      <c r="H14" s="318">
        <v>35000000</v>
      </c>
      <c r="I14" s="324" t="s">
        <v>147</v>
      </c>
      <c r="J14" s="10">
        <f t="shared" si="0"/>
        <v>35000000</v>
      </c>
      <c r="K14" s="10">
        <f t="shared" si="1"/>
        <v>35000000</v>
      </c>
      <c r="L14" s="420">
        <v>43698</v>
      </c>
      <c r="M14" s="11">
        <f t="shared" si="2"/>
        <v>43733</v>
      </c>
      <c r="N14" s="318">
        <v>35000000</v>
      </c>
      <c r="O14" s="420">
        <f t="shared" si="3"/>
        <v>43878</v>
      </c>
      <c r="P14" s="11"/>
      <c r="S14" s="13" t="s">
        <v>410</v>
      </c>
      <c r="T14" s="532" t="s">
        <v>802</v>
      </c>
    </row>
    <row r="15" spans="1:21" s="13" customFormat="1" ht="13.2" customHeight="1">
      <c r="A15" s="13">
        <v>105</v>
      </c>
      <c r="B15" s="13">
        <v>109</v>
      </c>
      <c r="C15" s="13">
        <v>5076</v>
      </c>
      <c r="D15" s="13" t="s">
        <v>77</v>
      </c>
      <c r="E15" s="13" t="s">
        <v>425</v>
      </c>
      <c r="F15" s="36" t="s">
        <v>452</v>
      </c>
      <c r="G15" s="36" t="s">
        <v>78</v>
      </c>
      <c r="H15" s="318">
        <v>45000000</v>
      </c>
      <c r="I15" s="324" t="s">
        <v>147</v>
      </c>
      <c r="J15" s="10">
        <f t="shared" si="0"/>
        <v>45000000</v>
      </c>
      <c r="K15" s="10">
        <v>45000000</v>
      </c>
      <c r="L15" s="420">
        <v>43699</v>
      </c>
      <c r="M15" s="11">
        <f t="shared" si="2"/>
        <v>43734</v>
      </c>
      <c r="N15" s="318">
        <v>45000000</v>
      </c>
      <c r="O15" s="420">
        <f t="shared" si="3"/>
        <v>43879</v>
      </c>
      <c r="P15" s="11"/>
      <c r="S15" s="13" t="s">
        <v>410</v>
      </c>
      <c r="T15" s="532" t="s">
        <v>804</v>
      </c>
    </row>
    <row r="16" spans="1:21" s="13" customFormat="1" ht="13.2" customHeight="1">
      <c r="A16" s="13">
        <v>106</v>
      </c>
      <c r="B16" s="13">
        <v>111</v>
      </c>
      <c r="C16" s="13">
        <v>5077</v>
      </c>
      <c r="D16" s="13" t="s">
        <v>203</v>
      </c>
      <c r="E16" s="13" t="s">
        <v>141</v>
      </c>
      <c r="F16" s="36" t="s">
        <v>501</v>
      </c>
      <c r="G16" s="36" t="s">
        <v>502</v>
      </c>
      <c r="H16" s="318">
        <v>35000000</v>
      </c>
      <c r="I16" s="324" t="s">
        <v>147</v>
      </c>
      <c r="J16" s="10">
        <f t="shared" si="0"/>
        <v>35000000</v>
      </c>
      <c r="K16" s="10">
        <f>J16</f>
        <v>35000000</v>
      </c>
      <c r="L16" s="420">
        <v>43699</v>
      </c>
      <c r="M16" s="11">
        <f t="shared" si="2"/>
        <v>43734</v>
      </c>
      <c r="N16" s="404">
        <v>0</v>
      </c>
      <c r="O16" s="420">
        <f t="shared" si="3"/>
        <v>43879</v>
      </c>
      <c r="P16" s="10">
        <v>0</v>
      </c>
      <c r="Q16" s="10">
        <f>K16-P16</f>
        <v>35000000</v>
      </c>
      <c r="R16" s="11">
        <v>43734</v>
      </c>
      <c r="S16" s="13" t="s">
        <v>410</v>
      </c>
      <c r="T16" s="532" t="s">
        <v>804</v>
      </c>
    </row>
    <row r="17" spans="1:21" s="13" customFormat="1" ht="13.5" customHeight="1">
      <c r="A17" s="13">
        <v>107</v>
      </c>
      <c r="B17" s="13">
        <v>112</v>
      </c>
      <c r="C17" s="13" t="s">
        <v>461</v>
      </c>
      <c r="D17" s="13" t="s">
        <v>203</v>
      </c>
      <c r="E17" s="13" t="s">
        <v>471</v>
      </c>
      <c r="F17" s="36" t="s">
        <v>477</v>
      </c>
      <c r="G17" s="36" t="s">
        <v>80</v>
      </c>
      <c r="H17" s="318">
        <v>0</v>
      </c>
      <c r="I17" s="324" t="s">
        <v>147</v>
      </c>
      <c r="J17" s="10">
        <f t="shared" si="0"/>
        <v>0</v>
      </c>
      <c r="K17" s="53"/>
      <c r="L17" s="420"/>
      <c r="M17" s="11"/>
      <c r="N17" s="404"/>
      <c r="O17" s="355"/>
      <c r="P17" s="11"/>
      <c r="S17" s="13" t="s">
        <v>410</v>
      </c>
      <c r="T17" s="43" t="s">
        <v>799</v>
      </c>
    </row>
    <row r="18" spans="1:21" s="13" customFormat="1" ht="13.5" customHeight="1">
      <c r="A18" s="13">
        <v>108</v>
      </c>
      <c r="B18" s="13">
        <v>113</v>
      </c>
      <c r="C18" s="13" t="s">
        <v>462</v>
      </c>
      <c r="D18" s="13" t="s">
        <v>203</v>
      </c>
      <c r="E18" s="13" t="s">
        <v>276</v>
      </c>
      <c r="F18" s="36" t="s">
        <v>478</v>
      </c>
      <c r="G18" s="36" t="s">
        <v>80</v>
      </c>
      <c r="H18" s="318">
        <v>0</v>
      </c>
      <c r="I18" s="324" t="s">
        <v>147</v>
      </c>
      <c r="J18" s="10">
        <f t="shared" si="0"/>
        <v>0</v>
      </c>
      <c r="K18" s="53"/>
      <c r="L18" s="420"/>
      <c r="M18" s="11"/>
      <c r="N18" s="404"/>
      <c r="O18" s="355"/>
      <c r="P18" s="11"/>
      <c r="S18" s="13" t="s">
        <v>410</v>
      </c>
      <c r="T18" s="43"/>
    </row>
    <row r="19" spans="1:21" s="13" customFormat="1" ht="13.5" customHeight="1">
      <c r="A19" s="13">
        <v>117</v>
      </c>
      <c r="B19" s="13">
        <v>120</v>
      </c>
      <c r="C19" s="13">
        <v>5078</v>
      </c>
      <c r="D19" s="13" t="s">
        <v>77</v>
      </c>
      <c r="E19" s="13" t="s">
        <v>141</v>
      </c>
      <c r="F19" s="36" t="s">
        <v>503</v>
      </c>
      <c r="G19" s="36" t="s">
        <v>142</v>
      </c>
      <c r="H19" s="318">
        <v>10000000</v>
      </c>
      <c r="I19" s="324" t="s">
        <v>147</v>
      </c>
      <c r="J19" s="10">
        <f t="shared" si="0"/>
        <v>10000000</v>
      </c>
      <c r="K19" s="10">
        <f t="shared" ref="K19:K22" si="4">J19</f>
        <v>10000000</v>
      </c>
      <c r="L19" s="420">
        <v>43699</v>
      </c>
      <c r="M19" s="11">
        <v>43734</v>
      </c>
      <c r="N19" s="10">
        <v>10000000</v>
      </c>
      <c r="O19" s="420">
        <v>43879</v>
      </c>
      <c r="P19" s="11"/>
      <c r="S19" s="13" t="s">
        <v>410</v>
      </c>
      <c r="T19" s="532" t="s">
        <v>803</v>
      </c>
    </row>
    <row r="20" spans="1:21" s="13" customFormat="1" ht="13.2" customHeight="1">
      <c r="A20" s="13" t="s">
        <v>147</v>
      </c>
      <c r="B20" s="13" t="s">
        <v>147</v>
      </c>
      <c r="C20" s="13">
        <v>5079</v>
      </c>
      <c r="D20" s="13" t="s">
        <v>77</v>
      </c>
      <c r="E20" s="13" t="s">
        <v>321</v>
      </c>
      <c r="F20" s="36" t="s">
        <v>322</v>
      </c>
      <c r="G20" s="36" t="s">
        <v>323</v>
      </c>
      <c r="H20" s="318">
        <v>52000000</v>
      </c>
      <c r="I20" s="324" t="s">
        <v>147</v>
      </c>
      <c r="J20" s="10">
        <f t="shared" ref="J20:J21" si="5">H20</f>
        <v>52000000</v>
      </c>
      <c r="K20" s="10">
        <f t="shared" si="4"/>
        <v>52000000</v>
      </c>
      <c r="L20" s="420">
        <v>43699</v>
      </c>
      <c r="M20" s="11">
        <v>43734</v>
      </c>
      <c r="N20" s="10">
        <v>52000000</v>
      </c>
      <c r="O20" s="420">
        <v>43879</v>
      </c>
      <c r="P20" s="391"/>
      <c r="S20" s="13" t="s">
        <v>508</v>
      </c>
      <c r="T20" s="43"/>
    </row>
    <row r="21" spans="1:21" s="13" customFormat="1" ht="13.2" customHeight="1">
      <c r="A21" s="13" t="s">
        <v>147</v>
      </c>
      <c r="B21" s="13" t="s">
        <v>147</v>
      </c>
      <c r="C21" s="13">
        <v>5080</v>
      </c>
      <c r="D21" s="13" t="s">
        <v>77</v>
      </c>
      <c r="E21" s="13" t="s">
        <v>725</v>
      </c>
      <c r="F21" s="36" t="s">
        <v>726</v>
      </c>
      <c r="G21" s="36" t="s">
        <v>294</v>
      </c>
      <c r="H21" s="318">
        <v>35000000</v>
      </c>
      <c r="I21" s="324" t="s">
        <v>147</v>
      </c>
      <c r="J21" s="10">
        <f t="shared" si="5"/>
        <v>35000000</v>
      </c>
      <c r="K21" s="10">
        <f t="shared" si="4"/>
        <v>35000000</v>
      </c>
      <c r="L21" s="420">
        <v>43699</v>
      </c>
      <c r="M21" s="11">
        <v>43734</v>
      </c>
      <c r="N21" s="10">
        <v>35000000</v>
      </c>
      <c r="O21" s="420">
        <v>43879</v>
      </c>
      <c r="P21" s="391"/>
      <c r="S21" s="13" t="s">
        <v>508</v>
      </c>
      <c r="T21" s="43"/>
    </row>
    <row r="22" spans="1:21" s="13" customFormat="1" ht="13.5" customHeight="1">
      <c r="A22" s="13" t="s">
        <v>147</v>
      </c>
      <c r="B22" s="13" t="s">
        <v>147</v>
      </c>
      <c r="C22" s="13">
        <v>5081</v>
      </c>
      <c r="D22" s="13" t="s">
        <v>77</v>
      </c>
      <c r="E22" s="13" t="s">
        <v>165</v>
      </c>
      <c r="F22" s="13" t="s">
        <v>730</v>
      </c>
      <c r="G22" s="36" t="s">
        <v>529</v>
      </c>
      <c r="H22" s="318">
        <v>15000000</v>
      </c>
      <c r="I22" s="324" t="s">
        <v>147</v>
      </c>
      <c r="J22" s="10">
        <f t="shared" ref="J22:J23" si="6">H22</f>
        <v>15000000</v>
      </c>
      <c r="K22" s="10">
        <f t="shared" si="4"/>
        <v>15000000</v>
      </c>
      <c r="L22" s="420">
        <v>43699</v>
      </c>
      <c r="M22" s="11">
        <v>43734</v>
      </c>
      <c r="N22" s="10">
        <v>15000000</v>
      </c>
      <c r="O22" s="420">
        <v>43879</v>
      </c>
      <c r="P22" s="391"/>
      <c r="S22" s="13" t="s">
        <v>508</v>
      </c>
      <c r="T22" s="43"/>
    </row>
    <row r="23" spans="1:21" s="13" customFormat="1" ht="13.5" customHeight="1">
      <c r="A23" s="13" t="s">
        <v>147</v>
      </c>
      <c r="B23" s="13" t="s">
        <v>147</v>
      </c>
      <c r="C23" s="13">
        <v>5083</v>
      </c>
      <c r="D23" s="13" t="s">
        <v>77</v>
      </c>
      <c r="E23" s="13" t="s">
        <v>545</v>
      </c>
      <c r="F23" s="13" t="s">
        <v>732</v>
      </c>
      <c r="G23" s="36" t="s">
        <v>79</v>
      </c>
      <c r="H23" s="318">
        <v>60000000</v>
      </c>
      <c r="I23" s="324" t="s">
        <v>147</v>
      </c>
      <c r="J23" s="10">
        <f t="shared" si="6"/>
        <v>60000000</v>
      </c>
      <c r="K23" s="9">
        <f t="shared" ref="K23:K28" si="7">J23</f>
        <v>60000000</v>
      </c>
      <c r="L23" s="420">
        <v>43712</v>
      </c>
      <c r="M23" s="11">
        <f>L23+35</f>
        <v>43747</v>
      </c>
      <c r="N23" s="9">
        <v>60000000</v>
      </c>
      <c r="O23" s="420">
        <f>L23+180</f>
        <v>43892</v>
      </c>
      <c r="P23" s="11"/>
      <c r="S23" s="13" t="s">
        <v>508</v>
      </c>
      <c r="T23" s="43"/>
    </row>
    <row r="24" spans="1:21" s="13" customFormat="1" ht="13.5" customHeight="1">
      <c r="A24" s="13" t="s">
        <v>147</v>
      </c>
      <c r="B24" s="13" t="s">
        <v>147</v>
      </c>
      <c r="C24" s="13">
        <v>5084</v>
      </c>
      <c r="D24" s="13" t="s">
        <v>77</v>
      </c>
      <c r="E24" s="13" t="s">
        <v>296</v>
      </c>
      <c r="F24" s="13" t="s">
        <v>525</v>
      </c>
      <c r="G24" s="36" t="s">
        <v>81</v>
      </c>
      <c r="H24" s="318">
        <v>50000000</v>
      </c>
      <c r="I24" s="324" t="s">
        <v>147</v>
      </c>
      <c r="J24" s="10">
        <f t="shared" ref="J24:J28" si="8">H24</f>
        <v>50000000</v>
      </c>
      <c r="K24" s="10">
        <f t="shared" si="7"/>
        <v>50000000</v>
      </c>
      <c r="L24" s="420">
        <v>43712</v>
      </c>
      <c r="M24" s="11">
        <f t="shared" ref="M24:M25" si="9">L24+35</f>
        <v>43747</v>
      </c>
      <c r="N24" s="10">
        <v>50000000</v>
      </c>
      <c r="O24" s="420">
        <f t="shared" ref="O24:O25" si="10">L24+180</f>
        <v>43892</v>
      </c>
      <c r="P24" s="11"/>
      <c r="S24" s="13" t="s">
        <v>508</v>
      </c>
      <c r="T24" s="43"/>
    </row>
    <row r="25" spans="1:21" s="13" customFormat="1" ht="13.5" customHeight="1">
      <c r="A25" s="13" t="s">
        <v>147</v>
      </c>
      <c r="B25" s="13" t="s">
        <v>147</v>
      </c>
      <c r="C25" s="13">
        <v>5085</v>
      </c>
      <c r="D25" s="13" t="s">
        <v>77</v>
      </c>
      <c r="E25" s="13" t="s">
        <v>296</v>
      </c>
      <c r="F25" s="13" t="s">
        <v>740</v>
      </c>
      <c r="G25" s="36" t="s">
        <v>81</v>
      </c>
      <c r="H25" s="318">
        <v>30000000</v>
      </c>
      <c r="I25" s="324" t="s">
        <v>147</v>
      </c>
      <c r="J25" s="10">
        <f t="shared" si="8"/>
        <v>30000000</v>
      </c>
      <c r="K25" s="10">
        <f t="shared" si="7"/>
        <v>30000000</v>
      </c>
      <c r="L25" s="420">
        <v>43712</v>
      </c>
      <c r="M25" s="11">
        <f t="shared" si="9"/>
        <v>43747</v>
      </c>
      <c r="N25" s="10">
        <v>30000000</v>
      </c>
      <c r="O25" s="420">
        <f t="shared" si="10"/>
        <v>43892</v>
      </c>
      <c r="P25" s="11"/>
      <c r="S25" s="13" t="s">
        <v>508</v>
      </c>
      <c r="T25" s="43"/>
    </row>
    <row r="26" spans="1:21" s="13" customFormat="1" ht="13.2" customHeight="1">
      <c r="A26" s="13" t="s">
        <v>147</v>
      </c>
      <c r="B26" s="13" t="s">
        <v>147</v>
      </c>
      <c r="C26" s="13">
        <v>5086</v>
      </c>
      <c r="D26" s="13" t="s">
        <v>77</v>
      </c>
      <c r="E26" s="13" t="s">
        <v>296</v>
      </c>
      <c r="F26" s="13" t="s">
        <v>741</v>
      </c>
      <c r="G26" s="36" t="s">
        <v>81</v>
      </c>
      <c r="H26" s="318">
        <v>32000000</v>
      </c>
      <c r="I26" s="324" t="s">
        <v>147</v>
      </c>
      <c r="J26" s="10">
        <f t="shared" si="8"/>
        <v>32000000</v>
      </c>
      <c r="K26" s="10">
        <f t="shared" si="7"/>
        <v>32000000</v>
      </c>
      <c r="L26" s="420">
        <v>43715</v>
      </c>
      <c r="M26" s="11">
        <f>L26+35</f>
        <v>43750</v>
      </c>
      <c r="N26" s="10">
        <v>32000000</v>
      </c>
      <c r="O26" s="420">
        <f>L26+180</f>
        <v>43895</v>
      </c>
      <c r="P26" s="391"/>
      <c r="S26" s="13" t="s">
        <v>508</v>
      </c>
      <c r="T26" s="43"/>
    </row>
    <row r="27" spans="1:21" s="338" customFormat="1" ht="13.5" customHeight="1">
      <c r="A27" s="338" t="s">
        <v>147</v>
      </c>
      <c r="B27" s="338" t="s">
        <v>147</v>
      </c>
      <c r="C27" s="338">
        <v>5087</v>
      </c>
      <c r="D27" s="338" t="s">
        <v>203</v>
      </c>
      <c r="E27" s="338" t="s">
        <v>305</v>
      </c>
      <c r="F27" s="338" t="s">
        <v>306</v>
      </c>
      <c r="G27" s="446" t="s">
        <v>307</v>
      </c>
      <c r="H27" s="412">
        <v>80000000</v>
      </c>
      <c r="I27" s="572" t="s">
        <v>147</v>
      </c>
      <c r="J27" s="573">
        <f t="shared" si="8"/>
        <v>80000000</v>
      </c>
      <c r="K27" s="573">
        <f t="shared" si="7"/>
        <v>80000000</v>
      </c>
      <c r="L27" s="574">
        <v>43735</v>
      </c>
      <c r="M27" s="391">
        <f>L27+35</f>
        <v>43770</v>
      </c>
      <c r="N27" s="573">
        <v>0</v>
      </c>
      <c r="O27" s="574">
        <f>L27+150</f>
        <v>43885</v>
      </c>
      <c r="P27" s="573">
        <v>0</v>
      </c>
      <c r="Q27" s="573">
        <f>K27-P27</f>
        <v>80000000</v>
      </c>
      <c r="R27" s="391">
        <v>43748</v>
      </c>
      <c r="S27" s="338" t="s">
        <v>147</v>
      </c>
      <c r="T27" s="223"/>
    </row>
    <row r="28" spans="1:21" s="13" customFormat="1" ht="13.5" customHeight="1">
      <c r="A28" s="13" t="s">
        <v>147</v>
      </c>
      <c r="B28" s="13" t="s">
        <v>147</v>
      </c>
      <c r="C28" s="13">
        <v>5088</v>
      </c>
      <c r="D28" s="13" t="s">
        <v>203</v>
      </c>
      <c r="E28" s="13" t="s">
        <v>564</v>
      </c>
      <c r="F28" s="13" t="s">
        <v>648</v>
      </c>
      <c r="G28" s="36" t="s">
        <v>80</v>
      </c>
      <c r="H28" s="318">
        <v>6000000</v>
      </c>
      <c r="I28" s="324" t="s">
        <v>147</v>
      </c>
      <c r="J28" s="10">
        <f t="shared" si="8"/>
        <v>6000000</v>
      </c>
      <c r="K28" s="10">
        <f t="shared" si="7"/>
        <v>6000000</v>
      </c>
      <c r="L28" s="420">
        <v>43735</v>
      </c>
      <c r="M28" s="11">
        <f>L28+35</f>
        <v>43770</v>
      </c>
      <c r="N28" s="10">
        <v>0</v>
      </c>
      <c r="O28" s="420">
        <f>L28+180</f>
        <v>43915</v>
      </c>
      <c r="P28" s="10">
        <v>0</v>
      </c>
      <c r="Q28" s="10">
        <f>K28-N28</f>
        <v>6000000</v>
      </c>
      <c r="R28" s="11">
        <v>43769</v>
      </c>
      <c r="S28" s="13" t="s">
        <v>508</v>
      </c>
      <c r="T28" s="43"/>
    </row>
    <row r="29" spans="1:21" s="13" customFormat="1" ht="13.5" customHeight="1">
      <c r="A29" s="13" t="s">
        <v>147</v>
      </c>
      <c r="B29" s="13" t="s">
        <v>147</v>
      </c>
      <c r="C29" s="13">
        <v>5089</v>
      </c>
      <c r="D29" s="13" t="s">
        <v>77</v>
      </c>
      <c r="E29" s="13" t="s">
        <v>257</v>
      </c>
      <c r="F29" s="36" t="s">
        <v>259</v>
      </c>
      <c r="G29" s="36" t="s">
        <v>258</v>
      </c>
      <c r="H29" s="318">
        <v>20000000</v>
      </c>
      <c r="I29" s="324" t="s">
        <v>147</v>
      </c>
      <c r="J29" s="10">
        <f t="shared" si="0"/>
        <v>20000000</v>
      </c>
      <c r="K29" s="10">
        <v>20000000</v>
      </c>
      <c r="L29" s="420">
        <v>43741</v>
      </c>
      <c r="M29" s="11">
        <f>L29+35</f>
        <v>43776</v>
      </c>
      <c r="N29" s="318">
        <v>20000000</v>
      </c>
      <c r="O29" s="420">
        <f>L29+180</f>
        <v>43921</v>
      </c>
      <c r="P29" s="11"/>
      <c r="S29" s="13" t="s">
        <v>344</v>
      </c>
      <c r="T29" s="516" t="s">
        <v>819</v>
      </c>
      <c r="U29" s="338" t="s">
        <v>822</v>
      </c>
    </row>
    <row r="30" spans="1:21" s="338" customFormat="1" ht="13.2" customHeight="1">
      <c r="A30" s="13" t="s">
        <v>147</v>
      </c>
      <c r="B30" s="13" t="s">
        <v>147</v>
      </c>
      <c r="C30" s="13">
        <v>5090</v>
      </c>
      <c r="D30" s="13" t="s">
        <v>77</v>
      </c>
      <c r="E30" s="13" t="s">
        <v>276</v>
      </c>
      <c r="F30" s="36" t="s">
        <v>469</v>
      </c>
      <c r="G30" s="36" t="s">
        <v>80</v>
      </c>
      <c r="H30" s="318">
        <v>33500000</v>
      </c>
      <c r="I30" s="324" t="s">
        <v>147</v>
      </c>
      <c r="J30" s="10">
        <f t="shared" si="0"/>
        <v>33500000</v>
      </c>
      <c r="K30" s="10">
        <v>33500000</v>
      </c>
      <c r="L30" s="420">
        <v>43754</v>
      </c>
      <c r="M30" s="11">
        <f>L30+35</f>
        <v>43789</v>
      </c>
      <c r="N30" s="318">
        <v>33500000</v>
      </c>
      <c r="O30" s="420">
        <f>L30+180</f>
        <v>43934</v>
      </c>
      <c r="P30" s="11"/>
      <c r="S30" s="13" t="s">
        <v>410</v>
      </c>
      <c r="T30" s="516" t="s">
        <v>828</v>
      </c>
    </row>
    <row r="31" spans="1:21" s="338" customFormat="1" ht="13.5" customHeight="1">
      <c r="A31" s="13" t="s">
        <v>147</v>
      </c>
      <c r="B31" s="13" t="s">
        <v>147</v>
      </c>
      <c r="C31" s="13" t="s">
        <v>760</v>
      </c>
      <c r="D31" s="13" t="s">
        <v>203</v>
      </c>
      <c r="E31" s="13" t="s">
        <v>304</v>
      </c>
      <c r="F31" s="13" t="s">
        <v>761</v>
      </c>
      <c r="G31" s="36" t="s">
        <v>189</v>
      </c>
      <c r="H31" s="318">
        <v>0</v>
      </c>
      <c r="I31" s="324" t="s">
        <v>147</v>
      </c>
      <c r="J31" s="10">
        <f t="shared" ref="J31:J34" si="11">H31</f>
        <v>0</v>
      </c>
      <c r="K31" s="11"/>
      <c r="L31" s="318"/>
      <c r="M31" s="11"/>
      <c r="N31" s="1"/>
      <c r="O31" s="355"/>
      <c r="P31" s="11"/>
      <c r="S31" s="13" t="s">
        <v>508</v>
      </c>
      <c r="T31" s="43"/>
    </row>
    <row r="32" spans="1:21" s="338" customFormat="1" ht="13.5" customHeight="1">
      <c r="A32" s="13" t="s">
        <v>147</v>
      </c>
      <c r="B32" s="13" t="s">
        <v>147</v>
      </c>
      <c r="C32" s="13">
        <v>5091</v>
      </c>
      <c r="D32" s="13" t="s">
        <v>77</v>
      </c>
      <c r="E32" s="13" t="s">
        <v>324</v>
      </c>
      <c r="F32" s="13" t="s">
        <v>764</v>
      </c>
      <c r="G32" s="36" t="s">
        <v>80</v>
      </c>
      <c r="H32" s="318">
        <v>50000000</v>
      </c>
      <c r="I32" s="324" t="s">
        <v>147</v>
      </c>
      <c r="J32" s="10">
        <f t="shared" si="11"/>
        <v>50000000</v>
      </c>
      <c r="K32" s="10">
        <v>50000000</v>
      </c>
      <c r="L32" s="420">
        <v>43754</v>
      </c>
      <c r="M32" s="11">
        <f>L32+35</f>
        <v>43789</v>
      </c>
      <c r="N32" s="318">
        <v>50000000</v>
      </c>
      <c r="O32" s="420">
        <f>L32+180</f>
        <v>43934</v>
      </c>
      <c r="P32" s="11"/>
      <c r="S32" s="13" t="s">
        <v>508</v>
      </c>
      <c r="T32" s="43"/>
    </row>
    <row r="33" spans="1:21" s="338" customFormat="1" ht="13.5" customHeight="1">
      <c r="A33" s="13" t="s">
        <v>147</v>
      </c>
      <c r="B33" s="13" t="s">
        <v>147</v>
      </c>
      <c r="C33" s="13">
        <v>5092</v>
      </c>
      <c r="D33" s="13" t="s">
        <v>77</v>
      </c>
      <c r="E33" s="13" t="s">
        <v>324</v>
      </c>
      <c r="F33" s="13" t="s">
        <v>575</v>
      </c>
      <c r="G33" s="36" t="s">
        <v>576</v>
      </c>
      <c r="H33" s="318">
        <v>26000000</v>
      </c>
      <c r="I33" s="324" t="s">
        <v>147</v>
      </c>
      <c r="J33" s="10">
        <f t="shared" si="11"/>
        <v>26000000</v>
      </c>
      <c r="K33" s="10">
        <v>26000000</v>
      </c>
      <c r="L33" s="420">
        <v>43755</v>
      </c>
      <c r="M33" s="11">
        <f>L33+35</f>
        <v>43790</v>
      </c>
      <c r="N33" s="318">
        <v>26000000</v>
      </c>
      <c r="O33" s="420">
        <f>L33+180</f>
        <v>43935</v>
      </c>
      <c r="P33" s="11"/>
      <c r="S33" s="13" t="s">
        <v>508</v>
      </c>
      <c r="T33" s="43"/>
    </row>
    <row r="34" spans="1:21" s="338" customFormat="1" ht="13.5" customHeight="1">
      <c r="A34" s="13" t="s">
        <v>147</v>
      </c>
      <c r="B34" s="13" t="s">
        <v>147</v>
      </c>
      <c r="C34" s="13">
        <v>5093</v>
      </c>
      <c r="D34" s="13" t="s">
        <v>77</v>
      </c>
      <c r="E34" s="13" t="s">
        <v>524</v>
      </c>
      <c r="F34" s="13" t="s">
        <v>525</v>
      </c>
      <c r="G34" s="36" t="s">
        <v>526</v>
      </c>
      <c r="H34" s="318">
        <v>45000000</v>
      </c>
      <c r="I34" s="324" t="s">
        <v>147</v>
      </c>
      <c r="J34" s="10">
        <f t="shared" si="11"/>
        <v>45000000</v>
      </c>
      <c r="K34" s="10">
        <v>45000000</v>
      </c>
      <c r="L34" s="420">
        <v>43755</v>
      </c>
      <c r="M34" s="11">
        <f>L34+35</f>
        <v>43790</v>
      </c>
      <c r="N34" s="10">
        <v>45000000</v>
      </c>
      <c r="O34" s="420">
        <f t="shared" ref="O34:O36" si="12">L34+180</f>
        <v>43935</v>
      </c>
      <c r="P34" s="11"/>
      <c r="S34" s="13" t="s">
        <v>508</v>
      </c>
      <c r="T34" s="43"/>
    </row>
    <row r="35" spans="1:21" s="13" customFormat="1" ht="13.5" customHeight="1">
      <c r="A35" s="13" t="s">
        <v>147</v>
      </c>
      <c r="B35" s="13" t="s">
        <v>147</v>
      </c>
      <c r="C35" s="13">
        <v>5094</v>
      </c>
      <c r="D35" s="13" t="s">
        <v>77</v>
      </c>
      <c r="E35" s="13" t="s">
        <v>200</v>
      </c>
      <c r="F35" s="36" t="s">
        <v>771</v>
      </c>
      <c r="G35" s="36" t="s">
        <v>201</v>
      </c>
      <c r="H35" s="318">
        <v>15000000</v>
      </c>
      <c r="I35" s="324" t="s">
        <v>147</v>
      </c>
      <c r="J35" s="10">
        <f t="shared" si="0"/>
        <v>15000000</v>
      </c>
      <c r="K35" s="10">
        <v>15000000</v>
      </c>
      <c r="L35" s="420">
        <v>43755</v>
      </c>
      <c r="M35" s="11">
        <f t="shared" ref="M35:M37" si="13">L35+35</f>
        <v>43790</v>
      </c>
      <c r="N35" s="10">
        <v>15000000</v>
      </c>
      <c r="O35" s="420">
        <f t="shared" si="12"/>
        <v>43935</v>
      </c>
      <c r="P35" s="11"/>
      <c r="S35" s="13" t="s">
        <v>252</v>
      </c>
      <c r="T35" s="516" t="s">
        <v>833</v>
      </c>
    </row>
    <row r="36" spans="1:21" s="338" customFormat="1" ht="13.5" customHeight="1">
      <c r="A36" s="13" t="s">
        <v>147</v>
      </c>
      <c r="B36" s="13" t="s">
        <v>147</v>
      </c>
      <c r="C36" s="13">
        <v>5095</v>
      </c>
      <c r="D36" s="13" t="s">
        <v>77</v>
      </c>
      <c r="E36" s="13" t="s">
        <v>200</v>
      </c>
      <c r="F36" s="36" t="s">
        <v>772</v>
      </c>
      <c r="G36" s="36" t="s">
        <v>201</v>
      </c>
      <c r="H36" s="318">
        <v>15000000</v>
      </c>
      <c r="I36" s="324" t="s">
        <v>147</v>
      </c>
      <c r="J36" s="10">
        <f t="shared" si="0"/>
        <v>15000000</v>
      </c>
      <c r="K36" s="10">
        <v>15000000</v>
      </c>
      <c r="L36" s="420">
        <v>43755</v>
      </c>
      <c r="M36" s="11">
        <f t="shared" si="13"/>
        <v>43790</v>
      </c>
      <c r="N36" s="10">
        <v>15000000</v>
      </c>
      <c r="O36" s="420">
        <f t="shared" si="12"/>
        <v>43935</v>
      </c>
      <c r="P36" s="11"/>
      <c r="S36" s="13" t="s">
        <v>252</v>
      </c>
      <c r="T36" s="516" t="s">
        <v>833</v>
      </c>
    </row>
    <row r="37" spans="1:21" s="13" customFormat="1" ht="13.5" customHeight="1">
      <c r="A37" s="13" t="s">
        <v>147</v>
      </c>
      <c r="B37" s="13" t="s">
        <v>147</v>
      </c>
      <c r="C37" s="13">
        <v>5098</v>
      </c>
      <c r="D37" s="13" t="s">
        <v>77</v>
      </c>
      <c r="E37" s="13" t="s">
        <v>76</v>
      </c>
      <c r="F37" s="13" t="s">
        <v>364</v>
      </c>
      <c r="G37" s="13" t="s">
        <v>155</v>
      </c>
      <c r="H37" s="577">
        <v>128717758.63</v>
      </c>
      <c r="I37" s="324" t="s">
        <v>147</v>
      </c>
      <c r="J37" s="577">
        <f t="shared" ref="J37:J39" si="14">H37</f>
        <v>128717758.63</v>
      </c>
      <c r="K37" s="404">
        <v>128717758.63</v>
      </c>
      <c r="L37" s="11">
        <v>43783</v>
      </c>
      <c r="M37" s="11">
        <f t="shared" si="13"/>
        <v>43818</v>
      </c>
      <c r="N37" s="404">
        <v>128717758.63</v>
      </c>
      <c r="O37" s="11">
        <f>L37+210</f>
        <v>43993</v>
      </c>
      <c r="P37" s="318"/>
      <c r="Q37" s="10"/>
      <c r="R37" s="11"/>
      <c r="S37" s="13" t="s">
        <v>147</v>
      </c>
      <c r="T37" s="338"/>
    </row>
    <row r="38" spans="1:21" s="13" customFormat="1" ht="13.5" customHeight="1">
      <c r="A38" s="13" t="s">
        <v>147</v>
      </c>
      <c r="B38" s="13" t="s">
        <v>147</v>
      </c>
      <c r="C38" s="13">
        <v>5102</v>
      </c>
      <c r="D38" s="13" t="s">
        <v>204</v>
      </c>
      <c r="E38" s="13" t="s">
        <v>153</v>
      </c>
      <c r="F38" s="13" t="s">
        <v>365</v>
      </c>
      <c r="G38" s="13" t="s">
        <v>155</v>
      </c>
      <c r="H38" s="577">
        <v>187145473.05000001</v>
      </c>
      <c r="I38" s="324" t="s">
        <v>147</v>
      </c>
      <c r="J38" s="404">
        <f t="shared" si="14"/>
        <v>187145473.05000001</v>
      </c>
      <c r="K38" s="404">
        <v>187145473.05000001</v>
      </c>
      <c r="L38" s="11">
        <v>43783</v>
      </c>
      <c r="M38" s="11">
        <f t="shared" ref="M38" si="15">L38+35</f>
        <v>43818</v>
      </c>
      <c r="N38" s="404">
        <v>187145473.05000001</v>
      </c>
      <c r="O38" s="11">
        <f>L38+210</f>
        <v>43993</v>
      </c>
      <c r="P38" s="404">
        <v>0</v>
      </c>
      <c r="Q38" s="404">
        <f>N38-P38</f>
        <v>187145473.05000001</v>
      </c>
      <c r="R38" s="11">
        <v>43805</v>
      </c>
      <c r="S38" s="13" t="s">
        <v>147</v>
      </c>
      <c r="T38" s="338"/>
      <c r="U38" s="338" t="s">
        <v>859</v>
      </c>
    </row>
    <row r="39" spans="1:21" s="477" customFormat="1" ht="13.5" customHeight="1">
      <c r="A39" s="477" t="s">
        <v>147</v>
      </c>
      <c r="B39" s="477" t="s">
        <v>147</v>
      </c>
      <c r="C39" s="477">
        <v>5082</v>
      </c>
      <c r="D39" s="477" t="s">
        <v>204</v>
      </c>
      <c r="E39" s="477" t="s">
        <v>809</v>
      </c>
      <c r="F39" s="477" t="s">
        <v>810</v>
      </c>
      <c r="G39" s="477" t="s">
        <v>155</v>
      </c>
      <c r="H39" s="587">
        <v>43375000</v>
      </c>
      <c r="I39" s="588" t="s">
        <v>147</v>
      </c>
      <c r="J39" s="475">
        <f t="shared" si="14"/>
        <v>43375000</v>
      </c>
      <c r="K39" s="475">
        <f>J39</f>
        <v>43375000</v>
      </c>
      <c r="L39" s="487">
        <v>43705</v>
      </c>
      <c r="M39" s="487">
        <f>L39+35</f>
        <v>43740</v>
      </c>
      <c r="N39" s="475">
        <v>43375000</v>
      </c>
      <c r="O39" s="487">
        <v>43829</v>
      </c>
      <c r="P39" s="475">
        <v>0</v>
      </c>
      <c r="Q39" s="319">
        <f>N39-P39</f>
        <v>43375000</v>
      </c>
      <c r="R39" s="487">
        <v>43778</v>
      </c>
      <c r="S39" s="477" t="s">
        <v>147</v>
      </c>
      <c r="T39" s="556"/>
      <c r="U39" s="556" t="s">
        <v>811</v>
      </c>
    </row>
    <row r="40" spans="1:21" s="13" customFormat="1" ht="13.5" customHeight="1">
      <c r="A40" s="13" t="s">
        <v>147</v>
      </c>
      <c r="B40" s="13" t="s">
        <v>147</v>
      </c>
      <c r="C40" s="13" t="s">
        <v>818</v>
      </c>
      <c r="D40" s="13" t="s">
        <v>43</v>
      </c>
      <c r="E40" s="13" t="s">
        <v>820</v>
      </c>
      <c r="F40" s="13" t="s">
        <v>466</v>
      </c>
      <c r="G40" s="13" t="s">
        <v>80</v>
      </c>
      <c r="H40" s="440">
        <v>30000000</v>
      </c>
      <c r="I40" s="324" t="s">
        <v>147</v>
      </c>
      <c r="J40" s="318">
        <v>30000000</v>
      </c>
      <c r="K40" s="318"/>
      <c r="L40" s="11"/>
      <c r="M40" s="11"/>
      <c r="N40" s="318"/>
      <c r="O40" s="11"/>
      <c r="P40" s="318"/>
      <c r="Q40" s="10"/>
      <c r="R40" s="11"/>
      <c r="S40" s="13" t="s">
        <v>508</v>
      </c>
      <c r="T40" s="338"/>
      <c r="U40" s="338"/>
    </row>
    <row r="41" spans="1:21" s="13" customFormat="1" ht="13.5" customHeight="1">
      <c r="A41" s="13" t="s">
        <v>147</v>
      </c>
      <c r="B41" s="13" t="s">
        <v>147</v>
      </c>
      <c r="C41" s="13">
        <v>5096</v>
      </c>
      <c r="D41" s="13" t="s">
        <v>77</v>
      </c>
      <c r="E41" s="13" t="s">
        <v>267</v>
      </c>
      <c r="F41" s="13" t="s">
        <v>823</v>
      </c>
      <c r="G41" s="13" t="s">
        <v>268</v>
      </c>
      <c r="H41" s="440">
        <v>35000000</v>
      </c>
      <c r="I41" s="324" t="s">
        <v>147</v>
      </c>
      <c r="J41" s="318">
        <f>H41</f>
        <v>35000000</v>
      </c>
      <c r="K41" s="318">
        <v>35000000</v>
      </c>
      <c r="L41" s="11">
        <v>43761</v>
      </c>
      <c r="M41" s="11">
        <f>L41+35</f>
        <v>43796</v>
      </c>
      <c r="N41" s="318">
        <v>35000000</v>
      </c>
      <c r="O41" s="11">
        <f>L41+180</f>
        <v>43941</v>
      </c>
      <c r="P41" s="318"/>
      <c r="Q41" s="10"/>
      <c r="R41" s="11"/>
      <c r="S41" s="13" t="s">
        <v>410</v>
      </c>
      <c r="T41" s="516" t="s">
        <v>838</v>
      </c>
      <c r="U41" s="338" t="s">
        <v>835</v>
      </c>
    </row>
    <row r="42" spans="1:21" s="338" customFormat="1" ht="13.5" customHeight="1">
      <c r="A42" s="338" t="s">
        <v>147</v>
      </c>
      <c r="B42" s="338" t="s">
        <v>147</v>
      </c>
      <c r="C42" s="338" t="s">
        <v>825</v>
      </c>
      <c r="D42" s="338" t="s">
        <v>43</v>
      </c>
      <c r="E42" s="338" t="s">
        <v>83</v>
      </c>
      <c r="F42" s="338" t="s">
        <v>826</v>
      </c>
      <c r="G42" s="338" t="s">
        <v>827</v>
      </c>
      <c r="H42" s="575">
        <v>36000000</v>
      </c>
      <c r="I42" s="572" t="s">
        <v>147</v>
      </c>
      <c r="J42" s="412">
        <f>H42</f>
        <v>36000000</v>
      </c>
      <c r="K42" s="412"/>
      <c r="L42" s="391"/>
      <c r="M42" s="391"/>
      <c r="N42" s="412"/>
      <c r="O42" s="391"/>
      <c r="P42" s="412"/>
      <c r="Q42" s="573"/>
      <c r="R42" s="391"/>
      <c r="S42" s="338" t="s">
        <v>147</v>
      </c>
    </row>
    <row r="43" spans="1:21" s="13" customFormat="1" ht="13.5" customHeight="1">
      <c r="A43" s="13" t="s">
        <v>147</v>
      </c>
      <c r="B43" s="13" t="s">
        <v>147</v>
      </c>
      <c r="C43" s="13" t="s">
        <v>829</v>
      </c>
      <c r="D43" s="13" t="s">
        <v>43</v>
      </c>
      <c r="E43" s="13" t="s">
        <v>830</v>
      </c>
      <c r="F43" s="13" t="s">
        <v>831</v>
      </c>
      <c r="G43" s="13" t="s">
        <v>832</v>
      </c>
      <c r="H43" s="440">
        <v>40000000</v>
      </c>
      <c r="I43" s="324" t="s">
        <v>147</v>
      </c>
      <c r="J43" s="318">
        <f>H43</f>
        <v>40000000</v>
      </c>
      <c r="K43" s="318"/>
      <c r="L43" s="11"/>
      <c r="M43" s="11"/>
      <c r="N43" s="318"/>
      <c r="O43" s="11"/>
      <c r="P43" s="318"/>
      <c r="Q43" s="10"/>
      <c r="R43" s="11"/>
      <c r="S43" s="13" t="s">
        <v>508</v>
      </c>
    </row>
    <row r="44" spans="1:21" s="13" customFormat="1" ht="13.5" customHeight="1">
      <c r="A44" s="13" t="s">
        <v>147</v>
      </c>
      <c r="B44" s="13" t="s">
        <v>147</v>
      </c>
      <c r="C44" s="13">
        <v>5097</v>
      </c>
      <c r="D44" s="13" t="s">
        <v>77</v>
      </c>
      <c r="E44" s="13" t="s">
        <v>98</v>
      </c>
      <c r="F44" s="13" t="s">
        <v>836</v>
      </c>
      <c r="G44" s="13" t="s">
        <v>837</v>
      </c>
      <c r="H44" s="440">
        <v>38800000</v>
      </c>
      <c r="I44" s="324" t="s">
        <v>147</v>
      </c>
      <c r="J44" s="318">
        <f>H44</f>
        <v>38800000</v>
      </c>
      <c r="K44" s="318">
        <v>38800000</v>
      </c>
      <c r="L44" s="11">
        <v>43761</v>
      </c>
      <c r="M44" s="11">
        <f>L44+35</f>
        <v>43796</v>
      </c>
      <c r="N44" s="318">
        <v>38800000</v>
      </c>
      <c r="O44" s="11">
        <f>L44+180</f>
        <v>43941</v>
      </c>
      <c r="P44" s="318"/>
      <c r="Q44" s="10"/>
      <c r="R44" s="11"/>
      <c r="S44" s="13" t="s">
        <v>508</v>
      </c>
      <c r="U44" s="338" t="s">
        <v>687</v>
      </c>
    </row>
    <row r="45" spans="1:21" s="13" customFormat="1" ht="13.2" customHeight="1">
      <c r="A45" s="13" t="s">
        <v>147</v>
      </c>
      <c r="B45" s="13" t="s">
        <v>147</v>
      </c>
      <c r="C45" s="13" t="s">
        <v>840</v>
      </c>
      <c r="D45" s="13" t="s">
        <v>43</v>
      </c>
      <c r="E45" s="13" t="s">
        <v>153</v>
      </c>
      <c r="F45" s="13" t="s">
        <v>365</v>
      </c>
      <c r="G45" s="13" t="s">
        <v>155</v>
      </c>
      <c r="H45" s="577">
        <v>187145473.05000001</v>
      </c>
      <c r="I45" s="324" t="s">
        <v>147</v>
      </c>
      <c r="J45" s="404">
        <f>H45</f>
        <v>187145473.05000001</v>
      </c>
      <c r="K45" s="318"/>
      <c r="L45" s="11"/>
      <c r="M45" s="11"/>
      <c r="N45" s="318"/>
      <c r="O45" s="11"/>
      <c r="P45" s="318"/>
      <c r="Q45" s="10"/>
      <c r="R45" s="11"/>
      <c r="S45" s="13" t="s">
        <v>147</v>
      </c>
      <c r="U45" s="338"/>
    </row>
    <row r="46" spans="1:21" s="13" customFormat="1" ht="13.5" customHeight="1">
      <c r="A46" s="13" t="s">
        <v>147</v>
      </c>
      <c r="B46" s="13" t="s">
        <v>147</v>
      </c>
      <c r="C46" s="13">
        <v>5099</v>
      </c>
      <c r="D46" s="13" t="s">
        <v>77</v>
      </c>
      <c r="E46" s="13" t="s">
        <v>172</v>
      </c>
      <c r="F46" s="13" t="s">
        <v>844</v>
      </c>
      <c r="G46" s="13" t="s">
        <v>80</v>
      </c>
      <c r="H46" s="440">
        <v>35000000</v>
      </c>
      <c r="I46" s="324" t="s">
        <v>147</v>
      </c>
      <c r="J46" s="318">
        <v>35000000</v>
      </c>
      <c r="K46" s="318">
        <v>35000000</v>
      </c>
      <c r="L46" s="11">
        <v>43783</v>
      </c>
      <c r="M46" s="11">
        <f>L46+35</f>
        <v>43818</v>
      </c>
      <c r="N46" s="318">
        <v>35000000</v>
      </c>
      <c r="O46" s="11">
        <f>L46+180</f>
        <v>43963</v>
      </c>
      <c r="P46" s="318"/>
      <c r="Q46" s="10"/>
      <c r="R46" s="11"/>
      <c r="S46" s="13" t="s">
        <v>508</v>
      </c>
      <c r="U46" s="338" t="s">
        <v>848</v>
      </c>
    </row>
    <row r="47" spans="1:21" s="13" customFormat="1" ht="13.2" customHeight="1">
      <c r="A47" s="13" t="s">
        <v>147</v>
      </c>
      <c r="B47" s="13" t="s">
        <v>147</v>
      </c>
      <c r="C47" s="13">
        <v>5101</v>
      </c>
      <c r="D47" s="13" t="s">
        <v>204</v>
      </c>
      <c r="E47" s="13" t="s">
        <v>538</v>
      </c>
      <c r="F47" s="13" t="s">
        <v>845</v>
      </c>
      <c r="G47" s="13" t="s">
        <v>846</v>
      </c>
      <c r="H47" s="440">
        <v>16000000</v>
      </c>
      <c r="I47" s="324" t="s">
        <v>147</v>
      </c>
      <c r="J47" s="318">
        <v>16000000</v>
      </c>
      <c r="K47" s="318">
        <v>16000000</v>
      </c>
      <c r="L47" s="11">
        <v>43783</v>
      </c>
      <c r="M47" s="11">
        <f>L47+35</f>
        <v>43818</v>
      </c>
      <c r="N47" s="318">
        <v>16000000</v>
      </c>
      <c r="O47" s="11">
        <f>L47+150</f>
        <v>43933</v>
      </c>
      <c r="P47" s="318">
        <v>0</v>
      </c>
      <c r="Q47" s="10">
        <f>N47-P47</f>
        <v>16000000</v>
      </c>
      <c r="R47" s="11">
        <v>43825</v>
      </c>
      <c r="S47" s="13" t="s">
        <v>147</v>
      </c>
      <c r="U47" s="338" t="s">
        <v>857</v>
      </c>
    </row>
    <row r="48" spans="1:21" s="13" customFormat="1" ht="13.5" customHeight="1">
      <c r="A48" s="13" t="s">
        <v>147</v>
      </c>
      <c r="B48" s="13" t="s">
        <v>147</v>
      </c>
      <c r="C48" s="13">
        <v>5100</v>
      </c>
      <c r="D48" s="13" t="s">
        <v>204</v>
      </c>
      <c r="E48" s="13" t="s">
        <v>76</v>
      </c>
      <c r="F48" s="13" t="s">
        <v>778</v>
      </c>
      <c r="G48" s="13" t="s">
        <v>155</v>
      </c>
      <c r="H48" s="440">
        <v>162000000</v>
      </c>
      <c r="I48" s="324" t="s">
        <v>147</v>
      </c>
      <c r="J48" s="318">
        <v>162000000</v>
      </c>
      <c r="K48" s="318">
        <v>162000000</v>
      </c>
      <c r="L48" s="11">
        <v>43783</v>
      </c>
      <c r="M48" s="11">
        <f>L48+35</f>
        <v>43818</v>
      </c>
      <c r="N48" s="404">
        <v>158226943.65000001</v>
      </c>
      <c r="O48" s="11">
        <f>L48+210</f>
        <v>43993</v>
      </c>
      <c r="P48" s="318">
        <v>0</v>
      </c>
      <c r="Q48" s="10">
        <f>K48-P48</f>
        <v>162000000</v>
      </c>
      <c r="R48" s="11">
        <v>43819</v>
      </c>
      <c r="S48" s="13" t="s">
        <v>147</v>
      </c>
      <c r="U48" s="338" t="s">
        <v>854</v>
      </c>
    </row>
    <row r="49" spans="1:17">
      <c r="C49" s="13"/>
      <c r="E49" s="5"/>
      <c r="F49" s="5" t="s">
        <v>7</v>
      </c>
      <c r="G49" s="5" t="s">
        <v>6</v>
      </c>
      <c r="H49" s="70">
        <f>SUM(H7:H48)</f>
        <v>1816683704.73</v>
      </c>
      <c r="I49" s="365"/>
      <c r="J49" s="70">
        <f>SUM(J7:J48)</f>
        <v>1816683704.73</v>
      </c>
      <c r="K49" s="70">
        <f>SUM(K7:K48)</f>
        <v>1523538231.6800001</v>
      </c>
      <c r="L49" s="27"/>
      <c r="M49" s="27"/>
      <c r="N49" s="70">
        <f>SUM(N7:N48)</f>
        <v>1388765175.3300002</v>
      </c>
      <c r="P49" s="70">
        <f>SUM(P7:P48)</f>
        <v>0</v>
      </c>
      <c r="Q49" s="70">
        <f>SUM(Q7:Q48)</f>
        <v>539520473.04999995</v>
      </c>
    </row>
    <row r="50" spans="1:17">
      <c r="C50" s="13"/>
      <c r="E50" s="43"/>
      <c r="G50" s="13"/>
      <c r="H50" s="365"/>
      <c r="I50" s="365"/>
      <c r="J50" s="365"/>
      <c r="K50" s="9"/>
      <c r="N50" s="9"/>
      <c r="P50" s="9"/>
      <c r="Q50" s="9"/>
    </row>
    <row r="51" spans="1:17">
      <c r="C51" s="13"/>
      <c r="E51" s="13"/>
      <c r="G51" s="5" t="s">
        <v>43</v>
      </c>
      <c r="H51" s="365">
        <f>J49-K49</f>
        <v>293145473.04999995</v>
      </c>
      <c r="I51" s="365"/>
      <c r="J51" s="365"/>
      <c r="K51" s="9"/>
      <c r="N51" s="9"/>
      <c r="O51" s="7"/>
      <c r="P51" s="9"/>
      <c r="Q51" s="9"/>
    </row>
    <row r="52" spans="1:17">
      <c r="G52" s="13"/>
      <c r="H52" s="9"/>
      <c r="I52" s="9"/>
      <c r="J52" s="9"/>
      <c r="K52" s="9"/>
      <c r="N52" s="85"/>
      <c r="P52" s="9"/>
      <c r="Q52" s="9"/>
    </row>
    <row r="53" spans="1:17">
      <c r="F53" s="144"/>
      <c r="G53" s="5" t="s">
        <v>225</v>
      </c>
      <c r="H53" s="426">
        <f>E1-K49+Q49+G66</f>
        <v>409376202.79999971</v>
      </c>
      <c r="I53" s="9"/>
      <c r="J53" s="9"/>
      <c r="K53" s="9"/>
      <c r="N53" s="9"/>
      <c r="P53" s="9"/>
      <c r="Q53" s="85"/>
    </row>
    <row r="54" spans="1:17">
      <c r="H54" s="373" t="s">
        <v>395</v>
      </c>
      <c r="N54" s="85"/>
    </row>
    <row r="55" spans="1:17">
      <c r="H55" s="429"/>
      <c r="J55" s="9"/>
      <c r="N55" s="85"/>
    </row>
    <row r="56" spans="1:17">
      <c r="H56" s="2"/>
      <c r="J56" s="9"/>
      <c r="N56" s="85"/>
    </row>
    <row r="57" spans="1:17">
      <c r="A57" s="13"/>
      <c r="B57" s="13"/>
      <c r="C57" s="43"/>
      <c r="D57" s="213"/>
      <c r="E57" s="43"/>
      <c r="F57" s="43"/>
      <c r="G57" s="417"/>
      <c r="H57" s="576"/>
      <c r="I57" s="317"/>
      <c r="J57" s="578"/>
      <c r="K57" s="85"/>
      <c r="N57" s="173"/>
    </row>
    <row r="58" spans="1:17">
      <c r="A58" s="13"/>
      <c r="B58" s="13"/>
      <c r="C58" s="43"/>
      <c r="D58" s="213"/>
      <c r="E58" s="43"/>
      <c r="F58" s="43"/>
      <c r="G58" s="417"/>
      <c r="H58" s="317"/>
      <c r="I58" s="317"/>
      <c r="J58" s="578"/>
      <c r="K58" s="567"/>
      <c r="N58" s="173"/>
    </row>
    <row r="59" spans="1:17">
      <c r="A59" s="13"/>
      <c r="B59" s="13"/>
      <c r="C59" s="43"/>
      <c r="D59" s="213"/>
      <c r="E59" s="43"/>
      <c r="F59" s="43"/>
      <c r="G59" s="417"/>
      <c r="H59" s="317"/>
      <c r="I59" s="317"/>
      <c r="N59" s="173"/>
    </row>
    <row r="60" spans="1:17">
      <c r="A60" s="13"/>
      <c r="B60" s="13"/>
      <c r="C60" s="43"/>
      <c r="D60" s="213"/>
      <c r="E60" s="43"/>
      <c r="F60" s="43"/>
      <c r="G60" s="417"/>
      <c r="H60" s="317"/>
      <c r="I60" s="317"/>
      <c r="N60" s="173"/>
    </row>
    <row r="61" spans="1:17">
      <c r="A61" s="13"/>
      <c r="B61" s="13"/>
      <c r="C61" s="43">
        <v>4927</v>
      </c>
      <c r="D61" s="43" t="s">
        <v>77</v>
      </c>
      <c r="E61" s="152" t="s">
        <v>463</v>
      </c>
      <c r="F61" s="13" t="s">
        <v>94</v>
      </c>
      <c r="G61" s="323">
        <v>4000000</v>
      </c>
      <c r="H61" s="223" t="s">
        <v>805</v>
      </c>
      <c r="I61" s="317"/>
      <c r="N61" s="173"/>
    </row>
    <row r="62" spans="1:17">
      <c r="A62" s="13"/>
      <c r="B62" s="13"/>
      <c r="C62" s="43">
        <v>4917</v>
      </c>
      <c r="D62" s="43" t="s">
        <v>77</v>
      </c>
      <c r="E62" s="152" t="s">
        <v>257</v>
      </c>
      <c r="F62" s="36" t="s">
        <v>656</v>
      </c>
      <c r="G62" s="323">
        <v>15000000</v>
      </c>
      <c r="H62" s="223" t="s">
        <v>821</v>
      </c>
      <c r="I62" s="317"/>
      <c r="N62" s="173"/>
    </row>
    <row r="63" spans="1:17">
      <c r="A63" s="13"/>
      <c r="B63" s="13"/>
      <c r="C63" s="43">
        <v>4926</v>
      </c>
      <c r="D63" s="43" t="s">
        <v>77</v>
      </c>
      <c r="E63" s="152" t="s">
        <v>267</v>
      </c>
      <c r="F63" s="36" t="s">
        <v>656</v>
      </c>
      <c r="G63" s="323">
        <v>35000000</v>
      </c>
      <c r="H63" s="223" t="s">
        <v>834</v>
      </c>
      <c r="I63" s="317"/>
      <c r="N63" s="173"/>
    </row>
    <row r="64" spans="1:17">
      <c r="A64" s="13"/>
      <c r="B64" s="13"/>
      <c r="C64" s="43">
        <v>4933</v>
      </c>
      <c r="D64" s="43" t="s">
        <v>77</v>
      </c>
      <c r="E64" s="152" t="s">
        <v>98</v>
      </c>
      <c r="F64" s="36" t="s">
        <v>656</v>
      </c>
      <c r="G64" s="323">
        <v>38800000</v>
      </c>
      <c r="H64" s="223" t="s">
        <v>839</v>
      </c>
      <c r="I64" s="317"/>
      <c r="N64" s="173"/>
    </row>
    <row r="65" spans="1:14">
      <c r="A65" s="13"/>
      <c r="B65" s="13"/>
      <c r="C65" s="43">
        <v>4895</v>
      </c>
      <c r="D65" s="43" t="s">
        <v>77</v>
      </c>
      <c r="E65" s="152" t="s">
        <v>172</v>
      </c>
      <c r="F65" s="36" t="s">
        <v>656</v>
      </c>
      <c r="G65" s="323">
        <v>35000000</v>
      </c>
      <c r="H65" s="223" t="s">
        <v>847</v>
      </c>
      <c r="I65" s="317"/>
      <c r="N65" s="173"/>
    </row>
    <row r="66" spans="1:14">
      <c r="G66" s="360">
        <f>SUM(G61:G65)</f>
        <v>127800000</v>
      </c>
      <c r="N66" s="174"/>
    </row>
    <row r="68" spans="1:14">
      <c r="J68" s="432"/>
    </row>
    <row r="74" spans="1:14">
      <c r="C74" s="4"/>
      <c r="D74" s="4"/>
      <c r="E74" s="4"/>
      <c r="F74" s="4"/>
    </row>
  </sheetData>
  <autoFilter ref="A6:T37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54"/>
  <sheetViews>
    <sheetView zoomScaleNormal="100" workbookViewId="0">
      <selection activeCell="H34" sqref="H34"/>
    </sheetView>
  </sheetViews>
  <sheetFormatPr defaultColWidth="11.375" defaultRowHeight="12"/>
  <cols>
    <col min="1" max="1" width="8.875" style="1" customWidth="1"/>
    <col min="2" max="2" width="6.625" style="1" bestFit="1" customWidth="1"/>
    <col min="3" max="3" width="9" style="1" customWidth="1"/>
    <col min="4" max="4" width="11" style="1" bestFit="1" customWidth="1"/>
    <col min="5" max="5" width="43.125" style="1" bestFit="1" customWidth="1"/>
    <col min="6" max="6" width="46.375" style="1" bestFit="1" customWidth="1"/>
    <col min="7" max="7" width="16.25" style="1" bestFit="1" customWidth="1"/>
    <col min="8" max="8" width="15.125" style="9" bestFit="1" customWidth="1"/>
    <col min="9" max="9" width="14" style="100" bestFit="1" customWidth="1"/>
    <col min="10" max="10" width="14.125" style="9" customWidth="1"/>
    <col min="11" max="11" width="14.125" style="14" customWidth="1"/>
    <col min="12" max="12" width="16.375" style="1" customWidth="1"/>
    <col min="13" max="13" width="14.875" style="1" bestFit="1" customWidth="1"/>
    <col min="14" max="14" width="15.75" style="2" bestFit="1" customWidth="1"/>
    <col min="15" max="15" width="15.625" style="1" bestFit="1" customWidth="1"/>
    <col min="16" max="16" width="13.75" style="126" bestFit="1" customWidth="1"/>
    <col min="17" max="17" width="15.75" style="126" bestFit="1" customWidth="1"/>
    <col min="18" max="18" width="9.875" style="1" bestFit="1" customWidth="1"/>
    <col min="19" max="19" width="24.25" style="1" bestFit="1" customWidth="1"/>
    <col min="20" max="21" width="11.625" style="1" bestFit="1" customWidth="1"/>
    <col min="22" max="16384" width="11.375" style="1"/>
  </cols>
  <sheetData>
    <row r="1" spans="1:21" s="24" customFormat="1">
      <c r="A1" s="16" t="s">
        <v>21</v>
      </c>
      <c r="B1" s="322"/>
      <c r="C1" s="322"/>
      <c r="D1" s="17"/>
      <c r="E1" s="449">
        <f>Totals!C8</f>
        <v>1162144436</v>
      </c>
      <c r="F1" s="18"/>
      <c r="G1" s="18"/>
      <c r="H1" s="127"/>
      <c r="I1" s="117"/>
      <c r="J1" s="72"/>
      <c r="K1" s="20"/>
      <c r="L1" s="5" t="s">
        <v>360</v>
      </c>
      <c r="M1" s="5" t="s">
        <v>359</v>
      </c>
      <c r="N1" s="5" t="s">
        <v>367</v>
      </c>
      <c r="O1" s="5" t="s">
        <v>366</v>
      </c>
      <c r="P1" s="123"/>
      <c r="Q1" s="123"/>
      <c r="R1" s="23"/>
    </row>
    <row r="2" spans="1:21" s="13" customFormat="1">
      <c r="A2" s="25" t="s">
        <v>35</v>
      </c>
      <c r="B2" s="48"/>
      <c r="C2" s="48"/>
      <c r="D2" s="5"/>
      <c r="E2" s="26"/>
      <c r="F2" s="281"/>
      <c r="G2" s="5"/>
      <c r="I2" s="118"/>
      <c r="J2" s="73"/>
      <c r="K2" s="28"/>
      <c r="L2" s="13" t="s">
        <v>358</v>
      </c>
      <c r="M2" s="423">
        <f>ROUND($E$1*0.5666, 0)</f>
        <v>658471037</v>
      </c>
      <c r="N2" s="55">
        <f>M2-N12-K13-K14-K15-K16-K19-K20-K21-K22-K23-K25-K26-K27</f>
        <v>220210711</v>
      </c>
      <c r="O2" s="55">
        <f>N2-K28</f>
        <v>0</v>
      </c>
      <c r="P2" s="124"/>
      <c r="Q2" s="124"/>
      <c r="R2" s="74"/>
    </row>
    <row r="3" spans="1:21" s="13" customFormat="1">
      <c r="A3" s="25"/>
      <c r="B3" s="48"/>
      <c r="C3" s="48"/>
      <c r="E3" s="5"/>
      <c r="F3" s="5"/>
      <c r="G3" s="5"/>
      <c r="I3" s="118"/>
      <c r="J3" s="73"/>
      <c r="K3" s="28"/>
      <c r="L3" s="13" t="s">
        <v>773</v>
      </c>
      <c r="M3" s="423">
        <f>ROUND($E$1*0.1, 0)</f>
        <v>116214444</v>
      </c>
      <c r="N3" s="55">
        <f>M3-K24</f>
        <v>0</v>
      </c>
      <c r="O3" s="55">
        <f>N3</f>
        <v>0</v>
      </c>
      <c r="P3" s="124"/>
      <c r="Q3" s="124"/>
      <c r="R3" s="74"/>
    </row>
    <row r="4" spans="1:21" s="13" customFormat="1">
      <c r="A4" s="25"/>
      <c r="B4" s="48"/>
      <c r="C4" s="48"/>
      <c r="E4" s="5"/>
      <c r="F4" s="5"/>
      <c r="G4" s="5"/>
      <c r="I4" s="118"/>
      <c r="J4" s="73"/>
      <c r="K4" s="28"/>
      <c r="L4" s="13" t="s">
        <v>68</v>
      </c>
      <c r="M4" s="423">
        <f>ROUND($E$1*0.3334, 0)</f>
        <v>387458955</v>
      </c>
      <c r="N4" s="55">
        <f>M4-K18</f>
        <v>0</v>
      </c>
      <c r="O4" s="55">
        <f>N4</f>
        <v>0</v>
      </c>
      <c r="P4" s="124"/>
      <c r="Q4" s="124"/>
      <c r="R4" s="74"/>
    </row>
    <row r="5" spans="1:21" s="13" customFormat="1">
      <c r="A5" s="25"/>
      <c r="B5" s="48"/>
      <c r="C5" s="48"/>
      <c r="E5" s="5"/>
      <c r="F5" s="5"/>
      <c r="G5" s="5"/>
      <c r="H5" s="73"/>
      <c r="I5" s="118"/>
      <c r="J5" s="73"/>
      <c r="M5" s="5"/>
      <c r="N5" s="54"/>
      <c r="O5" s="11"/>
      <c r="P5" s="124"/>
      <c r="Q5" s="124"/>
      <c r="R5" s="74"/>
    </row>
    <row r="6" spans="1:21" s="5" customFormat="1" ht="11.4">
      <c r="A6" s="31" t="s">
        <v>247</v>
      </c>
      <c r="B6" s="5" t="s">
        <v>249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5" t="s">
        <v>23</v>
      </c>
      <c r="I6" s="119" t="s">
        <v>38</v>
      </c>
      <c r="J6" s="75" t="s">
        <v>51</v>
      </c>
      <c r="K6" s="75" t="s">
        <v>8</v>
      </c>
      <c r="L6" s="6" t="s">
        <v>14</v>
      </c>
      <c r="M6" s="6" t="s">
        <v>34</v>
      </c>
      <c r="N6" s="55" t="s">
        <v>4</v>
      </c>
      <c r="O6" s="6" t="s">
        <v>162</v>
      </c>
      <c r="P6" s="125" t="s">
        <v>27</v>
      </c>
      <c r="Q6" s="125" t="s">
        <v>44</v>
      </c>
      <c r="R6" s="30" t="s">
        <v>22</v>
      </c>
    </row>
    <row r="7" spans="1:21" s="5" customFormat="1">
      <c r="A7" s="31" t="s">
        <v>248</v>
      </c>
      <c r="B7" s="5" t="s">
        <v>248</v>
      </c>
      <c r="C7" s="5" t="s">
        <v>48</v>
      </c>
      <c r="D7" s="13"/>
      <c r="E7" s="26"/>
      <c r="F7" s="26"/>
      <c r="G7" s="26"/>
      <c r="H7" s="75" t="s">
        <v>42</v>
      </c>
      <c r="I7" s="119" t="s">
        <v>46</v>
      </c>
      <c r="J7" s="75" t="s">
        <v>42</v>
      </c>
      <c r="K7" s="75" t="s">
        <v>42</v>
      </c>
      <c r="L7" s="6" t="s">
        <v>9</v>
      </c>
      <c r="M7" s="6" t="s">
        <v>18</v>
      </c>
      <c r="N7" s="55" t="s">
        <v>42</v>
      </c>
      <c r="O7" s="6" t="s">
        <v>18</v>
      </c>
      <c r="P7" s="125" t="s">
        <v>42</v>
      </c>
      <c r="Q7" s="125" t="s">
        <v>42</v>
      </c>
      <c r="R7" s="30" t="s">
        <v>5</v>
      </c>
    </row>
    <row r="8" spans="1:21" s="5" customFormat="1" ht="13.8" thickBot="1">
      <c r="A8" s="37"/>
      <c r="B8" s="33"/>
      <c r="C8" s="33" t="s">
        <v>208</v>
      </c>
      <c r="D8" s="38" t="s">
        <v>7</v>
      </c>
      <c r="E8" s="39"/>
      <c r="F8" s="39"/>
      <c r="G8" s="39"/>
      <c r="H8" s="76"/>
      <c r="I8" s="120"/>
      <c r="J8" s="76"/>
      <c r="K8" s="76"/>
      <c r="L8" s="40"/>
      <c r="M8" s="40"/>
      <c r="N8" s="57"/>
      <c r="O8" s="40"/>
      <c r="P8" s="76"/>
      <c r="Q8" s="76"/>
      <c r="R8" s="180" t="s">
        <v>9</v>
      </c>
      <c r="S8" s="13"/>
      <c r="T8" s="177"/>
      <c r="U8" s="13"/>
    </row>
    <row r="9" spans="1:21" s="13" customFormat="1" ht="13.2">
      <c r="A9" s="108" t="s">
        <v>147</v>
      </c>
      <c r="B9" s="108" t="s">
        <v>147</v>
      </c>
      <c r="C9" s="108">
        <v>4957</v>
      </c>
      <c r="D9" s="13" t="s">
        <v>204</v>
      </c>
      <c r="E9" s="13" t="s">
        <v>153</v>
      </c>
      <c r="F9" s="36" t="s">
        <v>632</v>
      </c>
      <c r="G9" s="13" t="s">
        <v>155</v>
      </c>
      <c r="H9" s="318">
        <v>63000000</v>
      </c>
      <c r="I9" s="324" t="s">
        <v>147</v>
      </c>
      <c r="J9" s="318">
        <f>H9</f>
        <v>63000000</v>
      </c>
      <c r="K9" s="318">
        <f>J9</f>
        <v>63000000</v>
      </c>
      <c r="L9" s="11">
        <v>43477</v>
      </c>
      <c r="M9" s="11">
        <f t="shared" ref="M9:M20" si="0">L9+35</f>
        <v>43512</v>
      </c>
      <c r="N9" s="318">
        <v>63000000</v>
      </c>
      <c r="O9" s="11">
        <f t="shared" ref="O9:O20" si="1">L9+210</f>
        <v>43687</v>
      </c>
      <c r="P9" s="318">
        <v>0</v>
      </c>
      <c r="Q9" s="10">
        <f>N9-P9</f>
        <v>63000000</v>
      </c>
      <c r="R9" s="11">
        <v>43526</v>
      </c>
      <c r="S9" s="338" t="s">
        <v>635</v>
      </c>
      <c r="T9" s="177"/>
    </row>
    <row r="10" spans="1:21" s="13" customFormat="1" ht="13.2">
      <c r="A10" s="13" t="s">
        <v>147</v>
      </c>
      <c r="B10" s="13" t="s">
        <v>147</v>
      </c>
      <c r="C10" s="13">
        <v>5006</v>
      </c>
      <c r="D10" s="13" t="s">
        <v>204</v>
      </c>
      <c r="E10" s="13" t="s">
        <v>76</v>
      </c>
      <c r="F10" s="13" t="s">
        <v>151</v>
      </c>
      <c r="G10" s="13" t="s">
        <v>155</v>
      </c>
      <c r="H10" s="318">
        <v>250700000</v>
      </c>
      <c r="I10" s="324" t="s">
        <v>147</v>
      </c>
      <c r="J10" s="318">
        <v>250700000</v>
      </c>
      <c r="K10" s="318">
        <v>250700000</v>
      </c>
      <c r="L10" s="11">
        <v>43508</v>
      </c>
      <c r="M10" s="11">
        <f t="shared" si="0"/>
        <v>43543</v>
      </c>
      <c r="N10" s="404">
        <v>240673586.25</v>
      </c>
      <c r="O10" s="11">
        <f t="shared" si="1"/>
        <v>43718</v>
      </c>
      <c r="P10" s="318">
        <v>0</v>
      </c>
      <c r="Q10" s="10">
        <f>K10-P10</f>
        <v>250700000</v>
      </c>
      <c r="R10" s="11">
        <v>43553</v>
      </c>
      <c r="S10" s="338" t="s">
        <v>684</v>
      </c>
      <c r="T10" s="177"/>
    </row>
    <row r="11" spans="1:21" s="13" customFormat="1" ht="13.2">
      <c r="A11" s="13" t="s">
        <v>147</v>
      </c>
      <c r="B11" s="13" t="s">
        <v>147</v>
      </c>
      <c r="C11" s="13">
        <v>5030</v>
      </c>
      <c r="D11" s="13" t="s">
        <v>204</v>
      </c>
      <c r="E11" s="13" t="s">
        <v>76</v>
      </c>
      <c r="F11" s="13" t="s">
        <v>352</v>
      </c>
      <c r="G11" s="13" t="s">
        <v>155</v>
      </c>
      <c r="H11" s="318">
        <v>216000000</v>
      </c>
      <c r="I11" s="324" t="s">
        <v>147</v>
      </c>
      <c r="J11" s="318">
        <f>H11</f>
        <v>216000000</v>
      </c>
      <c r="K11" s="318">
        <f>J11</f>
        <v>216000000</v>
      </c>
      <c r="L11" s="11">
        <v>43600</v>
      </c>
      <c r="M11" s="11">
        <f t="shared" si="0"/>
        <v>43635</v>
      </c>
      <c r="N11" s="404">
        <v>210833049.65000001</v>
      </c>
      <c r="O11" s="11">
        <f t="shared" si="1"/>
        <v>43810</v>
      </c>
      <c r="P11" s="318">
        <v>0</v>
      </c>
      <c r="Q11" s="50">
        <f>K11-P11</f>
        <v>216000000</v>
      </c>
      <c r="R11" s="11">
        <v>43659</v>
      </c>
      <c r="S11" s="338" t="s">
        <v>733</v>
      </c>
      <c r="T11" s="177"/>
    </row>
    <row r="12" spans="1:21" s="13" customFormat="1" ht="13.2">
      <c r="A12" s="13" t="s">
        <v>147</v>
      </c>
      <c r="B12" s="13" t="s">
        <v>147</v>
      </c>
      <c r="C12" s="13">
        <v>5041</v>
      </c>
      <c r="D12" s="13" t="s">
        <v>204</v>
      </c>
      <c r="E12" s="13" t="s">
        <v>267</v>
      </c>
      <c r="F12" s="13" t="s">
        <v>751</v>
      </c>
      <c r="G12" s="13" t="s">
        <v>268</v>
      </c>
      <c r="H12" s="318">
        <v>24000000</v>
      </c>
      <c r="I12" s="520">
        <v>1</v>
      </c>
      <c r="J12" s="318">
        <f>H12*I12</f>
        <v>24000000</v>
      </c>
      <c r="K12" s="318">
        <v>24000000</v>
      </c>
      <c r="L12" s="11">
        <v>43642</v>
      </c>
      <c r="M12" s="11">
        <f t="shared" si="0"/>
        <v>43677</v>
      </c>
      <c r="N12" s="318">
        <v>24000000</v>
      </c>
      <c r="O12" s="11">
        <f t="shared" si="1"/>
        <v>43852</v>
      </c>
      <c r="P12" s="318">
        <v>24000000</v>
      </c>
      <c r="Q12" s="10">
        <f>N12-P12</f>
        <v>0</v>
      </c>
      <c r="R12" s="11">
        <v>43659</v>
      </c>
      <c r="S12" s="338"/>
      <c r="T12" s="177"/>
    </row>
    <row r="13" spans="1:21" s="13" customFormat="1" ht="13.2">
      <c r="A13" s="13" t="s">
        <v>147</v>
      </c>
      <c r="B13" s="13" t="s">
        <v>147</v>
      </c>
      <c r="C13" s="13">
        <v>5051</v>
      </c>
      <c r="D13" s="13" t="s">
        <v>77</v>
      </c>
      <c r="E13" s="13" t="s">
        <v>815</v>
      </c>
      <c r="F13" s="13" t="s">
        <v>151</v>
      </c>
      <c r="G13" s="13" t="s">
        <v>355</v>
      </c>
      <c r="H13" s="318">
        <v>61260326</v>
      </c>
      <c r="I13" s="520">
        <v>1</v>
      </c>
      <c r="J13" s="318">
        <f>H13*I13</f>
        <v>61260326</v>
      </c>
      <c r="K13" s="318">
        <f>J13</f>
        <v>61260326</v>
      </c>
      <c r="L13" s="11">
        <v>43658</v>
      </c>
      <c r="M13" s="11">
        <f t="shared" si="0"/>
        <v>43693</v>
      </c>
      <c r="N13" s="318">
        <v>61260326</v>
      </c>
      <c r="O13" s="11">
        <f t="shared" si="1"/>
        <v>43868</v>
      </c>
      <c r="P13" s="318"/>
      <c r="Q13" s="10"/>
      <c r="R13" s="11"/>
      <c r="S13" s="338"/>
      <c r="T13" s="177"/>
    </row>
    <row r="14" spans="1:21" s="13" customFormat="1" ht="13.2">
      <c r="A14" s="13" t="s">
        <v>147</v>
      </c>
      <c r="B14" s="13" t="s">
        <v>147</v>
      </c>
      <c r="C14" s="13">
        <v>5053</v>
      </c>
      <c r="D14" s="13" t="s">
        <v>77</v>
      </c>
      <c r="E14" s="13" t="s">
        <v>797</v>
      </c>
      <c r="F14" s="13" t="s">
        <v>356</v>
      </c>
      <c r="G14" s="13" t="s">
        <v>184</v>
      </c>
      <c r="H14" s="318">
        <v>15000000</v>
      </c>
      <c r="I14" s="324" t="s">
        <v>147</v>
      </c>
      <c r="J14" s="318">
        <f t="shared" ref="J14:J29" si="2">H14</f>
        <v>15000000</v>
      </c>
      <c r="K14" s="318">
        <v>15000000</v>
      </c>
      <c r="L14" s="11">
        <v>43666</v>
      </c>
      <c r="M14" s="11">
        <f t="shared" si="0"/>
        <v>43701</v>
      </c>
      <c r="N14" s="318">
        <v>15000000</v>
      </c>
      <c r="O14" s="11">
        <f t="shared" si="1"/>
        <v>43876</v>
      </c>
      <c r="P14" s="318"/>
      <c r="Q14" s="10"/>
      <c r="R14" s="11"/>
      <c r="S14" s="338"/>
      <c r="T14" s="177"/>
    </row>
    <row r="15" spans="1:21" s="13" customFormat="1" ht="13.2">
      <c r="A15" s="13" t="s">
        <v>147</v>
      </c>
      <c r="B15" s="13" t="s">
        <v>147</v>
      </c>
      <c r="C15" s="13">
        <v>5054</v>
      </c>
      <c r="D15" s="13" t="s">
        <v>77</v>
      </c>
      <c r="E15" s="13" t="s">
        <v>817</v>
      </c>
      <c r="F15" s="13" t="s">
        <v>767</v>
      </c>
      <c r="G15" s="13" t="s">
        <v>768</v>
      </c>
      <c r="H15" s="318">
        <v>25000000</v>
      </c>
      <c r="I15" s="324" t="s">
        <v>147</v>
      </c>
      <c r="J15" s="318">
        <f t="shared" si="2"/>
        <v>25000000</v>
      </c>
      <c r="K15" s="318">
        <v>25000000</v>
      </c>
      <c r="L15" s="11">
        <v>43672</v>
      </c>
      <c r="M15" s="11">
        <f t="shared" si="0"/>
        <v>43707</v>
      </c>
      <c r="N15" s="318">
        <v>25000000</v>
      </c>
      <c r="O15" s="11">
        <f t="shared" si="1"/>
        <v>43882</v>
      </c>
      <c r="P15" s="318"/>
      <c r="Q15" s="10"/>
      <c r="R15" s="11"/>
      <c r="S15" s="338"/>
      <c r="T15" s="177"/>
    </row>
    <row r="16" spans="1:21" s="13" customFormat="1" ht="13.2">
      <c r="A16" s="13" t="s">
        <v>147</v>
      </c>
      <c r="B16" s="13" t="s">
        <v>147</v>
      </c>
      <c r="C16" s="13">
        <v>5055</v>
      </c>
      <c r="D16" s="13" t="s">
        <v>77</v>
      </c>
      <c r="E16" s="13" t="s">
        <v>841</v>
      </c>
      <c r="F16" s="13" t="s">
        <v>767</v>
      </c>
      <c r="G16" s="13" t="s">
        <v>82</v>
      </c>
      <c r="H16" s="318">
        <v>50000000</v>
      </c>
      <c r="I16" s="324" t="s">
        <v>147</v>
      </c>
      <c r="J16" s="318">
        <f t="shared" si="2"/>
        <v>50000000</v>
      </c>
      <c r="K16" s="318">
        <f>J16</f>
        <v>50000000</v>
      </c>
      <c r="L16" s="11">
        <v>43673</v>
      </c>
      <c r="M16" s="11">
        <f t="shared" si="0"/>
        <v>43708</v>
      </c>
      <c r="N16" s="318">
        <v>50000000</v>
      </c>
      <c r="O16" s="11">
        <f t="shared" si="1"/>
        <v>43883</v>
      </c>
      <c r="P16" s="318"/>
      <c r="Q16" s="10"/>
      <c r="R16" s="11"/>
      <c r="S16" s="338"/>
      <c r="T16" s="177"/>
    </row>
    <row r="17" spans="1:20" s="13" customFormat="1" ht="13.2">
      <c r="A17" s="13" t="s">
        <v>147</v>
      </c>
      <c r="B17" s="13" t="s">
        <v>147</v>
      </c>
      <c r="C17" s="13">
        <v>5057</v>
      </c>
      <c r="D17" s="13" t="s">
        <v>204</v>
      </c>
      <c r="E17" s="13" t="s">
        <v>76</v>
      </c>
      <c r="F17" s="13" t="s">
        <v>778</v>
      </c>
      <c r="G17" s="13" t="s">
        <v>155</v>
      </c>
      <c r="H17" s="318">
        <v>216000000</v>
      </c>
      <c r="I17" s="324" t="s">
        <v>147</v>
      </c>
      <c r="J17" s="318">
        <f t="shared" si="2"/>
        <v>216000000</v>
      </c>
      <c r="K17" s="318">
        <v>216000000</v>
      </c>
      <c r="L17" s="11">
        <v>43678</v>
      </c>
      <c r="M17" s="11">
        <f t="shared" si="0"/>
        <v>43713</v>
      </c>
      <c r="N17" s="404">
        <v>209175817.15000001</v>
      </c>
      <c r="O17" s="11">
        <f t="shared" si="1"/>
        <v>43888</v>
      </c>
      <c r="P17" s="318">
        <v>0</v>
      </c>
      <c r="Q17" s="50">
        <f>K17</f>
        <v>216000000</v>
      </c>
      <c r="R17" s="11">
        <v>43712</v>
      </c>
      <c r="S17" s="338" t="s">
        <v>777</v>
      </c>
      <c r="T17" s="177"/>
    </row>
    <row r="18" spans="1:20" s="13" customFormat="1" ht="13.2">
      <c r="A18" s="13" t="s">
        <v>147</v>
      </c>
      <c r="B18" s="13" t="s">
        <v>147</v>
      </c>
      <c r="C18" s="13">
        <v>5058</v>
      </c>
      <c r="D18" s="13" t="s">
        <v>77</v>
      </c>
      <c r="E18" s="13" t="s">
        <v>76</v>
      </c>
      <c r="F18" s="13" t="s">
        <v>364</v>
      </c>
      <c r="G18" s="13" t="s">
        <v>155</v>
      </c>
      <c r="H18" s="318">
        <v>387458955</v>
      </c>
      <c r="I18" s="324" t="s">
        <v>147</v>
      </c>
      <c r="J18" s="318">
        <f t="shared" si="2"/>
        <v>387458955</v>
      </c>
      <c r="K18" s="318">
        <f>J18</f>
        <v>387458955</v>
      </c>
      <c r="L18" s="11">
        <v>43678</v>
      </c>
      <c r="M18" s="11">
        <f t="shared" si="0"/>
        <v>43713</v>
      </c>
      <c r="N18" s="318">
        <v>387458955</v>
      </c>
      <c r="O18" s="11">
        <f t="shared" si="1"/>
        <v>43888</v>
      </c>
      <c r="P18" s="318"/>
      <c r="Q18" s="10"/>
      <c r="R18" s="11"/>
      <c r="S18" s="338"/>
      <c r="T18" s="177"/>
    </row>
    <row r="19" spans="1:20" s="13" customFormat="1" ht="13.2">
      <c r="A19" s="13" t="s">
        <v>147</v>
      </c>
      <c r="B19" s="13" t="s">
        <v>147</v>
      </c>
      <c r="C19" s="13">
        <v>5059</v>
      </c>
      <c r="D19" s="13" t="s">
        <v>77</v>
      </c>
      <c r="E19" s="13" t="s">
        <v>807</v>
      </c>
      <c r="F19" s="13" t="s">
        <v>365</v>
      </c>
      <c r="G19" s="13" t="s">
        <v>779</v>
      </c>
      <c r="H19" s="318">
        <v>15000000</v>
      </c>
      <c r="I19" s="324" t="s">
        <v>147</v>
      </c>
      <c r="J19" s="318">
        <f t="shared" si="2"/>
        <v>15000000</v>
      </c>
      <c r="K19" s="318">
        <v>15000000</v>
      </c>
      <c r="L19" s="11">
        <v>43678</v>
      </c>
      <c r="M19" s="11">
        <f t="shared" si="0"/>
        <v>43713</v>
      </c>
      <c r="N19" s="318">
        <v>15000000</v>
      </c>
      <c r="O19" s="11">
        <f t="shared" si="1"/>
        <v>43888</v>
      </c>
      <c r="P19" s="318"/>
      <c r="Q19" s="10"/>
      <c r="R19" s="11"/>
      <c r="S19" s="338"/>
      <c r="T19" s="177"/>
    </row>
    <row r="20" spans="1:20" s="13" customFormat="1" ht="13.2">
      <c r="A20" s="13" t="s">
        <v>147</v>
      </c>
      <c r="B20" s="13" t="s">
        <v>147</v>
      </c>
      <c r="C20" s="13">
        <v>5060</v>
      </c>
      <c r="D20" s="13" t="s">
        <v>77</v>
      </c>
      <c r="E20" s="13" t="s">
        <v>808</v>
      </c>
      <c r="F20" s="13" t="s">
        <v>365</v>
      </c>
      <c r="G20" s="13" t="s">
        <v>201</v>
      </c>
      <c r="H20" s="440">
        <v>2000000</v>
      </c>
      <c r="I20" s="324" t="s">
        <v>147</v>
      </c>
      <c r="J20" s="318">
        <f t="shared" si="2"/>
        <v>2000000</v>
      </c>
      <c r="K20" s="318">
        <f>J20</f>
        <v>2000000</v>
      </c>
      <c r="L20" s="11">
        <v>43680</v>
      </c>
      <c r="M20" s="11">
        <f t="shared" si="0"/>
        <v>43715</v>
      </c>
      <c r="N20" s="318">
        <v>2000000</v>
      </c>
      <c r="O20" s="11">
        <f t="shared" si="1"/>
        <v>43890</v>
      </c>
      <c r="P20" s="318"/>
      <c r="Q20" s="10"/>
      <c r="R20" s="11"/>
      <c r="S20" s="338"/>
      <c r="T20" s="177"/>
    </row>
    <row r="21" spans="1:20" s="13" customFormat="1" ht="13.2">
      <c r="A21" s="13" t="s">
        <v>147</v>
      </c>
      <c r="B21" s="13" t="s">
        <v>147</v>
      </c>
      <c r="C21" s="13">
        <v>5061</v>
      </c>
      <c r="D21" s="13" t="s">
        <v>77</v>
      </c>
      <c r="E21" s="13" t="s">
        <v>863</v>
      </c>
      <c r="F21" s="13" t="s">
        <v>778</v>
      </c>
      <c r="G21" s="13" t="s">
        <v>78</v>
      </c>
      <c r="H21" s="440">
        <v>61000000</v>
      </c>
      <c r="I21" s="324" t="s">
        <v>147</v>
      </c>
      <c r="J21" s="318">
        <f t="shared" si="2"/>
        <v>61000000</v>
      </c>
      <c r="K21" s="318">
        <f t="shared" ref="K21:K27" si="3">J21</f>
        <v>61000000</v>
      </c>
      <c r="L21" s="11">
        <v>43680</v>
      </c>
      <c r="M21" s="11">
        <f t="shared" ref="M21:M26" si="4">L21+35</f>
        <v>43715</v>
      </c>
      <c r="N21" s="318">
        <v>61000000</v>
      </c>
      <c r="O21" s="11">
        <f t="shared" ref="O21:O26" si="5">L21+210</f>
        <v>43890</v>
      </c>
      <c r="P21" s="318"/>
      <c r="Q21" s="10"/>
      <c r="R21" s="11"/>
      <c r="S21" s="338"/>
      <c r="T21" s="177"/>
    </row>
    <row r="22" spans="1:20" s="13" customFormat="1" ht="13.2">
      <c r="A22" s="13" t="s">
        <v>147</v>
      </c>
      <c r="B22" s="13" t="s">
        <v>147</v>
      </c>
      <c r="C22" s="13">
        <v>5062</v>
      </c>
      <c r="D22" s="13" t="s">
        <v>77</v>
      </c>
      <c r="E22" s="13" t="s">
        <v>816</v>
      </c>
      <c r="F22" s="13" t="s">
        <v>780</v>
      </c>
      <c r="G22" s="13" t="s">
        <v>361</v>
      </c>
      <c r="H22" s="440">
        <v>40000000</v>
      </c>
      <c r="I22" s="324" t="s">
        <v>147</v>
      </c>
      <c r="J22" s="318">
        <f t="shared" si="2"/>
        <v>40000000</v>
      </c>
      <c r="K22" s="318">
        <f t="shared" si="3"/>
        <v>40000000</v>
      </c>
      <c r="L22" s="11">
        <v>43680</v>
      </c>
      <c r="M22" s="11">
        <f t="shared" si="4"/>
        <v>43715</v>
      </c>
      <c r="N22" s="318">
        <v>40000000</v>
      </c>
      <c r="O22" s="11">
        <f t="shared" si="5"/>
        <v>43890</v>
      </c>
      <c r="P22" s="318"/>
      <c r="Q22" s="10"/>
      <c r="R22" s="11"/>
      <c r="S22" s="338"/>
      <c r="T22" s="177"/>
    </row>
    <row r="23" spans="1:20" s="13" customFormat="1" ht="13.2">
      <c r="A23" s="13" t="s">
        <v>147</v>
      </c>
      <c r="B23" s="13" t="s">
        <v>147</v>
      </c>
      <c r="C23" s="13">
        <v>5063</v>
      </c>
      <c r="D23" s="13" t="s">
        <v>77</v>
      </c>
      <c r="E23" s="13" t="s">
        <v>861</v>
      </c>
      <c r="F23" s="13" t="s">
        <v>780</v>
      </c>
      <c r="G23" s="43" t="s">
        <v>781</v>
      </c>
      <c r="H23" s="440">
        <v>54000000</v>
      </c>
      <c r="I23" s="324" t="s">
        <v>147</v>
      </c>
      <c r="J23" s="318">
        <f t="shared" si="2"/>
        <v>54000000</v>
      </c>
      <c r="K23" s="318">
        <f t="shared" si="3"/>
        <v>54000000</v>
      </c>
      <c r="L23" s="11">
        <v>43680</v>
      </c>
      <c r="M23" s="11">
        <f t="shared" si="4"/>
        <v>43715</v>
      </c>
      <c r="N23" s="318">
        <v>54000000</v>
      </c>
      <c r="O23" s="11">
        <f t="shared" si="5"/>
        <v>43890</v>
      </c>
      <c r="P23" s="318"/>
      <c r="Q23" s="10"/>
      <c r="R23" s="11"/>
      <c r="S23" s="338"/>
      <c r="T23" s="177"/>
    </row>
    <row r="24" spans="1:20" s="13" customFormat="1" ht="13.2">
      <c r="A24" s="13" t="s">
        <v>147</v>
      </c>
      <c r="B24" s="13" t="s">
        <v>147</v>
      </c>
      <c r="C24" s="13">
        <v>5064</v>
      </c>
      <c r="D24" s="13" t="s">
        <v>77</v>
      </c>
      <c r="E24" s="13" t="s">
        <v>153</v>
      </c>
      <c r="F24" s="13" t="s">
        <v>365</v>
      </c>
      <c r="G24" s="13" t="s">
        <v>155</v>
      </c>
      <c r="H24" s="440">
        <v>116214444</v>
      </c>
      <c r="I24" s="324" t="s">
        <v>147</v>
      </c>
      <c r="J24" s="318">
        <f t="shared" si="2"/>
        <v>116214444</v>
      </c>
      <c r="K24" s="318">
        <f t="shared" si="3"/>
        <v>116214444</v>
      </c>
      <c r="L24" s="11">
        <v>43680</v>
      </c>
      <c r="M24" s="11">
        <f t="shared" si="4"/>
        <v>43715</v>
      </c>
      <c r="N24" s="318">
        <v>116214444</v>
      </c>
      <c r="O24" s="11">
        <f t="shared" si="5"/>
        <v>43890</v>
      </c>
      <c r="P24" s="318"/>
      <c r="Q24" s="10"/>
      <c r="R24" s="11"/>
      <c r="S24" s="338"/>
      <c r="T24" s="177"/>
    </row>
    <row r="25" spans="1:20" s="13" customFormat="1" ht="13.2">
      <c r="A25" s="13" t="s">
        <v>147</v>
      </c>
      <c r="B25" s="13" t="s">
        <v>147</v>
      </c>
      <c r="C25" s="13">
        <v>5065</v>
      </c>
      <c r="D25" s="13" t="s">
        <v>77</v>
      </c>
      <c r="E25" s="13" t="s">
        <v>842</v>
      </c>
      <c r="F25" s="13" t="s">
        <v>782</v>
      </c>
      <c r="G25" s="43" t="s">
        <v>783</v>
      </c>
      <c r="H25" s="440">
        <v>61000000</v>
      </c>
      <c r="I25" s="324" t="s">
        <v>147</v>
      </c>
      <c r="J25" s="318">
        <f t="shared" si="2"/>
        <v>61000000</v>
      </c>
      <c r="K25" s="318">
        <f t="shared" si="3"/>
        <v>61000000</v>
      </c>
      <c r="L25" s="11">
        <v>43680</v>
      </c>
      <c r="M25" s="11">
        <f>L25+35</f>
        <v>43715</v>
      </c>
      <c r="N25" s="318">
        <v>61000000</v>
      </c>
      <c r="O25" s="11">
        <f t="shared" si="5"/>
        <v>43890</v>
      </c>
      <c r="P25" s="318"/>
      <c r="Q25" s="10"/>
      <c r="R25" s="11"/>
      <c r="S25" s="338"/>
      <c r="T25" s="177"/>
    </row>
    <row r="26" spans="1:20" s="13" customFormat="1" ht="13.2">
      <c r="A26" s="13" t="s">
        <v>147</v>
      </c>
      <c r="B26" s="13" t="s">
        <v>147</v>
      </c>
      <c r="C26" s="13">
        <v>5066</v>
      </c>
      <c r="D26" s="13" t="s">
        <v>77</v>
      </c>
      <c r="E26" s="13" t="s">
        <v>824</v>
      </c>
      <c r="F26" s="13" t="s">
        <v>365</v>
      </c>
      <c r="G26" s="13" t="s">
        <v>785</v>
      </c>
      <c r="H26" s="440">
        <v>10000000</v>
      </c>
      <c r="I26" s="324" t="s">
        <v>147</v>
      </c>
      <c r="J26" s="318">
        <f t="shared" si="2"/>
        <v>10000000</v>
      </c>
      <c r="K26" s="318">
        <f t="shared" si="3"/>
        <v>10000000</v>
      </c>
      <c r="L26" s="11">
        <v>43680</v>
      </c>
      <c r="M26" s="11">
        <f t="shared" si="4"/>
        <v>43715</v>
      </c>
      <c r="N26" s="318">
        <v>10000000</v>
      </c>
      <c r="O26" s="11">
        <f t="shared" si="5"/>
        <v>43890</v>
      </c>
      <c r="P26" s="318"/>
      <c r="Q26" s="10"/>
      <c r="R26" s="11"/>
      <c r="S26" s="338"/>
      <c r="T26" s="177"/>
    </row>
    <row r="27" spans="1:20" s="13" customFormat="1" ht="13.2">
      <c r="A27" s="13" t="s">
        <v>147</v>
      </c>
      <c r="B27" s="13" t="s">
        <v>147</v>
      </c>
      <c r="C27" s="13">
        <v>5067</v>
      </c>
      <c r="D27" s="13" t="s">
        <v>77</v>
      </c>
      <c r="E27" s="13" t="s">
        <v>798</v>
      </c>
      <c r="F27" s="13" t="s">
        <v>787</v>
      </c>
      <c r="G27" s="13" t="s">
        <v>788</v>
      </c>
      <c r="H27" s="440">
        <v>20000000</v>
      </c>
      <c r="I27" s="324" t="s">
        <v>147</v>
      </c>
      <c r="J27" s="318">
        <f t="shared" si="2"/>
        <v>20000000</v>
      </c>
      <c r="K27" s="318">
        <f t="shared" si="3"/>
        <v>20000000</v>
      </c>
      <c r="L27" s="11">
        <v>43680</v>
      </c>
      <c r="M27" s="11">
        <f t="shared" ref="M27" si="6">L27+35</f>
        <v>43715</v>
      </c>
      <c r="N27" s="318">
        <v>20000000</v>
      </c>
      <c r="O27" s="11">
        <f t="shared" ref="O27:O28" si="7">L27+210</f>
        <v>43890</v>
      </c>
      <c r="P27" s="318"/>
      <c r="Q27" s="10"/>
      <c r="R27" s="11"/>
      <c r="S27" s="338"/>
      <c r="T27" s="177"/>
    </row>
    <row r="28" spans="1:20" s="477" customFormat="1" ht="13.2">
      <c r="A28" s="477" t="s">
        <v>147</v>
      </c>
      <c r="B28" s="477" t="s">
        <v>147</v>
      </c>
      <c r="C28" s="477">
        <v>5068</v>
      </c>
      <c r="D28" s="477" t="s">
        <v>77</v>
      </c>
      <c r="E28" s="477" t="s">
        <v>153</v>
      </c>
      <c r="F28" s="477" t="s">
        <v>365</v>
      </c>
      <c r="G28" s="477" t="s">
        <v>155</v>
      </c>
      <c r="H28" s="587">
        <v>220210711</v>
      </c>
      <c r="I28" s="588" t="s">
        <v>147</v>
      </c>
      <c r="J28" s="475">
        <f t="shared" si="2"/>
        <v>220210711</v>
      </c>
      <c r="K28" s="475">
        <f>J28</f>
        <v>220210711</v>
      </c>
      <c r="L28" s="487">
        <v>43685</v>
      </c>
      <c r="M28" s="487">
        <f>L28+35</f>
        <v>43720</v>
      </c>
      <c r="N28" s="475">
        <v>220210711</v>
      </c>
      <c r="O28" s="487">
        <f t="shared" si="7"/>
        <v>43895</v>
      </c>
      <c r="P28" s="475"/>
      <c r="Q28" s="319"/>
      <c r="R28" s="487"/>
      <c r="S28" s="556"/>
      <c r="T28" s="590"/>
    </row>
    <row r="29" spans="1:20" s="534" customFormat="1" ht="13.2">
      <c r="A29" s="534" t="s">
        <v>147</v>
      </c>
      <c r="B29" s="534" t="s">
        <v>147</v>
      </c>
      <c r="C29" s="534" t="s">
        <v>791</v>
      </c>
      <c r="D29" s="534" t="s">
        <v>43</v>
      </c>
      <c r="E29" s="534" t="s">
        <v>76</v>
      </c>
      <c r="F29" s="534" t="s">
        <v>364</v>
      </c>
      <c r="G29" s="534" t="s">
        <v>155</v>
      </c>
      <c r="H29" s="542">
        <v>0</v>
      </c>
      <c r="I29" s="543" t="s">
        <v>147</v>
      </c>
      <c r="J29" s="536">
        <f t="shared" si="2"/>
        <v>0</v>
      </c>
      <c r="K29" s="536"/>
      <c r="L29" s="537"/>
      <c r="M29" s="537"/>
      <c r="N29" s="536"/>
      <c r="O29" s="537"/>
      <c r="P29" s="536"/>
      <c r="Q29" s="544"/>
      <c r="R29" s="537"/>
      <c r="S29" s="545"/>
      <c r="T29" s="546"/>
    </row>
    <row r="30" spans="1:20" s="13" customFormat="1">
      <c r="A30" s="43"/>
      <c r="B30" s="43"/>
      <c r="C30" s="43"/>
      <c r="D30" s="43"/>
      <c r="E30" s="1"/>
      <c r="F30" s="13" t="s">
        <v>19</v>
      </c>
      <c r="H30" s="280">
        <f>SUM(H9:H29)</f>
        <v>1907844436</v>
      </c>
      <c r="I30" s="68"/>
      <c r="J30" s="280">
        <f>SUM(J9:J29)</f>
        <v>1907844436</v>
      </c>
      <c r="K30" s="280">
        <f>SUM(K9:K28)</f>
        <v>1907844436</v>
      </c>
      <c r="L30" s="11"/>
      <c r="M30" s="10"/>
      <c r="N30" s="280">
        <f>SUM(N9:N27)</f>
        <v>1665616178.05</v>
      </c>
      <c r="O30" s="11"/>
      <c r="P30" s="280">
        <f>SUM(P9:P27)</f>
        <v>24000000</v>
      </c>
      <c r="Q30" s="280">
        <f>SUM(Q9:Q27)</f>
        <v>745700000</v>
      </c>
    </row>
    <row r="31" spans="1:20">
      <c r="A31" s="5"/>
      <c r="B31" s="5"/>
      <c r="C31" s="5"/>
      <c r="D31" s="91"/>
      <c r="F31" s="13"/>
      <c r="H31" s="78"/>
      <c r="I31" s="1"/>
      <c r="J31" s="11"/>
      <c r="K31" s="11"/>
      <c r="L31" s="11"/>
      <c r="M31" s="6"/>
      <c r="N31" s="1"/>
      <c r="O31" s="11"/>
      <c r="P31" s="1"/>
      <c r="Q31" s="13"/>
    </row>
    <row r="32" spans="1:20">
      <c r="A32" s="5"/>
      <c r="B32" s="5"/>
      <c r="C32" s="5"/>
      <c r="E32" s="5"/>
      <c r="F32" s="13" t="s">
        <v>43</v>
      </c>
      <c r="G32" s="5"/>
      <c r="H32" s="34">
        <f>J30-K30</f>
        <v>0</v>
      </c>
      <c r="I32" s="9"/>
      <c r="J32" s="1"/>
      <c r="K32" s="1"/>
      <c r="L32" s="9"/>
      <c r="N32" s="1"/>
      <c r="O32" s="3"/>
      <c r="P32" s="1"/>
      <c r="Q32" s="13"/>
    </row>
    <row r="33" spans="1:17">
      <c r="A33" s="5"/>
      <c r="B33" s="5"/>
      <c r="C33" s="5"/>
      <c r="E33" s="5"/>
      <c r="G33" s="5"/>
      <c r="H33" s="69"/>
      <c r="I33" s="9"/>
      <c r="J33" s="1"/>
      <c r="K33" s="173"/>
      <c r="L33" s="9"/>
      <c r="N33" s="1"/>
      <c r="O33" s="3"/>
      <c r="P33" s="1"/>
      <c r="Q33" s="13"/>
    </row>
    <row r="34" spans="1:17">
      <c r="A34" s="5"/>
      <c r="B34" s="5"/>
      <c r="C34" s="5"/>
      <c r="E34" s="137"/>
      <c r="F34" s="59" t="s">
        <v>10</v>
      </c>
      <c r="G34" s="5"/>
      <c r="H34" s="79">
        <f>E1-K30+Q30+G39</f>
        <v>0</v>
      </c>
      <c r="I34" s="325"/>
      <c r="J34" s="178"/>
      <c r="K34" s="173"/>
      <c r="L34" s="9"/>
      <c r="M34" s="173"/>
      <c r="N34" s="85"/>
      <c r="P34" s="1"/>
      <c r="Q34" s="13"/>
    </row>
    <row r="35" spans="1:17">
      <c r="E35" s="59"/>
      <c r="F35" s="5"/>
      <c r="G35" s="5"/>
      <c r="H35" s="148"/>
      <c r="I35" s="203"/>
      <c r="J35" s="529"/>
      <c r="K35" s="518"/>
      <c r="L35" s="9"/>
      <c r="M35" s="174"/>
      <c r="N35" s="85"/>
    </row>
    <row r="36" spans="1:17">
      <c r="E36" s="59"/>
      <c r="F36" s="4"/>
      <c r="G36" s="128"/>
      <c r="H36" s="128"/>
      <c r="I36" s="195"/>
      <c r="J36" s="195"/>
      <c r="K36" s="515"/>
      <c r="L36" s="85"/>
      <c r="M36" s="173"/>
      <c r="N36" s="1"/>
      <c r="O36" s="178"/>
      <c r="P36" s="9"/>
    </row>
    <row r="37" spans="1:17">
      <c r="A37" s="13"/>
      <c r="B37" s="13"/>
      <c r="C37" s="13"/>
      <c r="D37" s="213"/>
      <c r="E37" s="152"/>
      <c r="F37" s="152"/>
      <c r="G37" s="60"/>
      <c r="H37" s="563"/>
      <c r="J37" s="178"/>
      <c r="K37" s="178"/>
      <c r="L37" s="85"/>
      <c r="M37" s="178"/>
      <c r="N37" s="1"/>
      <c r="O37" s="173"/>
    </row>
    <row r="38" spans="1:17">
      <c r="A38" s="13"/>
      <c r="B38" s="13"/>
      <c r="C38" s="13"/>
      <c r="D38" s="213"/>
      <c r="E38" s="152"/>
      <c r="F38" s="152"/>
      <c r="G38" s="565"/>
      <c r="H38" s="128"/>
      <c r="J38" s="178"/>
      <c r="K38" s="178"/>
      <c r="L38" s="85"/>
      <c r="M38" s="178"/>
      <c r="N38" s="1"/>
      <c r="O38" s="173"/>
    </row>
    <row r="39" spans="1:17">
      <c r="E39" s="152"/>
      <c r="F39" s="137"/>
      <c r="G39" s="564">
        <f>SUM(G37:G38)</f>
        <v>0</v>
      </c>
      <c r="H39" s="128"/>
      <c r="I39" s="197"/>
      <c r="K39" s="527"/>
      <c r="L39" s="85"/>
      <c r="M39" s="173"/>
      <c r="N39" s="1"/>
    </row>
    <row r="40" spans="1:17">
      <c r="E40" s="59"/>
      <c r="F40" s="137"/>
      <c r="G40" s="199"/>
      <c r="H40" s="128"/>
      <c r="I40" s="200"/>
      <c r="K40" s="528"/>
      <c r="L40" s="9"/>
      <c r="N40" s="1"/>
    </row>
    <row r="41" spans="1:17">
      <c r="G41" s="278"/>
      <c r="I41" s="178"/>
      <c r="K41" s="173"/>
      <c r="L41" s="3"/>
    </row>
    <row r="42" spans="1:17">
      <c r="G42" s="267"/>
      <c r="H42" s="433"/>
      <c r="I42" s="203"/>
      <c r="K42" s="283"/>
    </row>
    <row r="43" spans="1:17">
      <c r="G43" s="267"/>
      <c r="H43" s="1"/>
      <c r="I43" s="203"/>
      <c r="K43" s="283"/>
    </row>
    <row r="44" spans="1:17">
      <c r="H44" s="1"/>
      <c r="I44" s="203"/>
      <c r="K44" s="283"/>
    </row>
    <row r="45" spans="1:17">
      <c r="H45" s="216"/>
      <c r="I45" s="203"/>
    </row>
    <row r="46" spans="1:17">
      <c r="H46" s="75"/>
      <c r="I46" s="203"/>
    </row>
    <row r="47" spans="1:17">
      <c r="H47" s="75"/>
      <c r="I47" s="203"/>
    </row>
    <row r="48" spans="1:17">
      <c r="H48" s="73"/>
    </row>
    <row r="49" spans="6:17">
      <c r="H49" s="75"/>
    </row>
    <row r="50" spans="6:17">
      <c r="H50" s="75"/>
    </row>
    <row r="51" spans="6:17">
      <c r="H51" s="75"/>
    </row>
    <row r="52" spans="6:17">
      <c r="F52" s="1" t="s">
        <v>7</v>
      </c>
      <c r="H52" s="75"/>
      <c r="I52" s="1"/>
      <c r="J52" s="1"/>
      <c r="K52" s="1"/>
      <c r="N52" s="1"/>
      <c r="P52" s="1"/>
      <c r="Q52" s="1"/>
    </row>
    <row r="53" spans="6:17">
      <c r="H53" s="216"/>
    </row>
    <row r="54" spans="6:17">
      <c r="H54" s="216"/>
    </row>
  </sheetData>
  <phoneticPr fontId="0" type="noConversion"/>
  <pageMargins left="0.75" right="0.75" top="1" bottom="1" header="0.5" footer="0.5"/>
  <pageSetup scale="52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2"/>
  <sheetViews>
    <sheetView workbookViewId="0">
      <selection activeCell="H13" sqref="H13"/>
    </sheetView>
  </sheetViews>
  <sheetFormatPr defaultColWidth="10.875" defaultRowHeight="12"/>
  <cols>
    <col min="1" max="1" width="8.875" style="13" customWidth="1"/>
    <col min="2" max="2" width="6.625" style="13" bestFit="1" customWidth="1"/>
    <col min="3" max="3" width="9.25" style="13" bestFit="1" customWidth="1"/>
    <col min="4" max="4" width="11" style="13" bestFit="1" customWidth="1"/>
    <col min="5" max="5" width="20.75" style="13" customWidth="1"/>
    <col min="6" max="6" width="37.25" style="13" bestFit="1" customWidth="1"/>
    <col min="7" max="7" width="12.125" style="13" bestFit="1" customWidth="1"/>
    <col min="8" max="8" width="15.75" style="34" bestFit="1" customWidth="1"/>
    <col min="9" max="9" width="13.25" style="34" bestFit="1" customWidth="1"/>
    <col min="10" max="10" width="13.75" style="13" bestFit="1" customWidth="1"/>
    <col min="11" max="11" width="12" style="13" customWidth="1"/>
    <col min="12" max="12" width="13.875" style="34" bestFit="1" customWidth="1"/>
    <col min="13" max="13" width="12" style="13" customWidth="1"/>
    <col min="14" max="14" width="15.25" style="35" bestFit="1" customWidth="1"/>
    <col min="15" max="15" width="13.875" style="34" bestFit="1" customWidth="1"/>
    <col min="16" max="16384" width="10.875" style="13"/>
  </cols>
  <sheetData>
    <row r="1" spans="1:22">
      <c r="A1" s="16" t="s">
        <v>47</v>
      </c>
      <c r="B1" s="322"/>
      <c r="C1" s="322"/>
      <c r="D1" s="17"/>
      <c r="E1" s="449">
        <f>Totals!D8</f>
        <v>360354864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9"/>
    </row>
    <row r="3" spans="1:22">
      <c r="A3" s="31"/>
      <c r="B3" s="5"/>
      <c r="C3" s="5"/>
      <c r="D3" s="5"/>
      <c r="E3" s="5"/>
      <c r="F3" s="5"/>
      <c r="G3" s="5"/>
      <c r="H3" s="46"/>
      <c r="I3" s="130"/>
      <c r="J3" s="6"/>
      <c r="K3" s="6"/>
      <c r="L3" s="224"/>
      <c r="M3" s="6"/>
      <c r="N3" s="55"/>
      <c r="O3" s="55"/>
      <c r="P3" s="109"/>
    </row>
    <row r="4" spans="1:22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162</v>
      </c>
      <c r="N4" s="32" t="s">
        <v>27</v>
      </c>
      <c r="O4" s="32" t="s">
        <v>44</v>
      </c>
      <c r="P4" s="109" t="s">
        <v>28</v>
      </c>
    </row>
    <row r="5" spans="1:22">
      <c r="A5" s="31" t="s">
        <v>248</v>
      </c>
      <c r="B5" s="5" t="s">
        <v>248</v>
      </c>
      <c r="C5" s="5" t="s">
        <v>48</v>
      </c>
      <c r="E5" s="5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9" t="s">
        <v>5</v>
      </c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111" t="s">
        <v>9</v>
      </c>
      <c r="Q6" s="13"/>
      <c r="R6" s="13"/>
      <c r="S6" s="13"/>
      <c r="T6" s="13"/>
      <c r="U6" s="13"/>
      <c r="V6" s="13"/>
    </row>
    <row r="7" spans="1:22">
      <c r="A7" s="108" t="s">
        <v>147</v>
      </c>
      <c r="B7" s="108" t="s">
        <v>147</v>
      </c>
      <c r="C7" s="108">
        <v>4941</v>
      </c>
      <c r="D7" s="13" t="s">
        <v>204</v>
      </c>
      <c r="E7" s="13" t="s">
        <v>250</v>
      </c>
      <c r="F7" s="36" t="s">
        <v>400</v>
      </c>
      <c r="G7" s="13" t="s">
        <v>155</v>
      </c>
      <c r="H7" s="318">
        <v>200000000</v>
      </c>
      <c r="I7" s="318">
        <v>200000000</v>
      </c>
      <c r="J7" s="11">
        <v>43468</v>
      </c>
      <c r="K7" s="11">
        <f>J7+35</f>
        <v>43503</v>
      </c>
      <c r="L7" s="69">
        <v>200000000</v>
      </c>
      <c r="M7" s="11">
        <f>J7+210</f>
        <v>43678</v>
      </c>
      <c r="N7" s="522">
        <v>141477004.5</v>
      </c>
      <c r="O7" s="521">
        <f>L7-N7</f>
        <v>58522995.5</v>
      </c>
      <c r="P7" s="11">
        <v>43666</v>
      </c>
      <c r="Q7" s="43"/>
    </row>
    <row r="8" spans="1:22" s="462" customFormat="1">
      <c r="A8" s="458"/>
      <c r="B8" s="458"/>
      <c r="C8" s="458"/>
      <c r="D8" s="458"/>
      <c r="E8" s="458"/>
      <c r="F8" s="458"/>
      <c r="G8" s="458"/>
      <c r="H8" s="459"/>
      <c r="I8" s="459"/>
      <c r="J8" s="460"/>
      <c r="K8" s="460"/>
      <c r="L8" s="461"/>
      <c r="M8" s="460"/>
      <c r="N8" s="461"/>
      <c r="O8" s="461"/>
      <c r="P8" s="460"/>
    </row>
    <row r="9" spans="1:22">
      <c r="A9" s="43"/>
      <c r="B9" s="43"/>
      <c r="C9" s="43"/>
      <c r="D9" s="43"/>
      <c r="E9" s="1"/>
      <c r="F9" s="13" t="s">
        <v>19</v>
      </c>
      <c r="H9" s="280">
        <f>SUM(H7:H8)</f>
        <v>200000000</v>
      </c>
      <c r="I9" s="280">
        <f>SUM(I7:I8)</f>
        <v>200000000</v>
      </c>
      <c r="J9" s="10"/>
      <c r="K9" s="10"/>
      <c r="L9" s="280">
        <f>SUM(L7:L8)</f>
        <v>200000000</v>
      </c>
      <c r="M9" s="10"/>
      <c r="N9" s="415">
        <f>SUM(N7:N8)</f>
        <v>141477004.5</v>
      </c>
      <c r="O9" s="415">
        <f>SUM(O7:O8)</f>
        <v>58522995.5</v>
      </c>
    </row>
    <row r="10" spans="1:22" s="1" customFormat="1">
      <c r="A10" s="5"/>
      <c r="B10" s="5"/>
      <c r="C10" s="5"/>
      <c r="D10" s="91"/>
      <c r="F10" s="13"/>
      <c r="H10" s="78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9"/>
      <c r="I12" s="9"/>
      <c r="K12" s="142"/>
      <c r="L12" s="9"/>
      <c r="N12" s="78"/>
      <c r="Q12" s="13"/>
    </row>
    <row r="13" spans="1:22" s="1" customFormat="1">
      <c r="A13" s="5"/>
      <c r="B13" s="5"/>
      <c r="C13" s="5"/>
      <c r="E13" s="137"/>
      <c r="F13" s="59" t="s">
        <v>10</v>
      </c>
      <c r="G13" s="5"/>
      <c r="H13" s="79">
        <f>E1-I9+O9+G17</f>
        <v>218877859.5</v>
      </c>
      <c r="I13" s="325"/>
      <c r="J13" s="142"/>
      <c r="L13" s="9"/>
      <c r="M13" s="142"/>
      <c r="Q13" s="13"/>
    </row>
    <row r="14" spans="1:22">
      <c r="O14" s="151"/>
    </row>
    <row r="15" spans="1:22">
      <c r="O15" s="151"/>
    </row>
    <row r="16" spans="1:22">
      <c r="E16" s="5"/>
      <c r="F16" s="5"/>
      <c r="G16" s="93"/>
      <c r="I16" s="443"/>
      <c r="J16" s="443"/>
      <c r="L16" s="35"/>
    </row>
    <row r="17" spans="5:12">
      <c r="G17" s="360">
        <f>SUM(G15:G16)</f>
        <v>0</v>
      </c>
      <c r="H17" s="149"/>
      <c r="L17" s="35"/>
    </row>
    <row r="18" spans="5:12">
      <c r="E18" s="5"/>
      <c r="F18" s="5"/>
      <c r="G18" s="5"/>
      <c r="H18" s="35"/>
    </row>
    <row r="19" spans="5:12">
      <c r="G19" s="101"/>
      <c r="L19" s="35"/>
    </row>
    <row r="20" spans="5:12">
      <c r="G20" s="101"/>
      <c r="H20" s="139"/>
    </row>
    <row r="21" spans="5:12">
      <c r="G21" s="121"/>
      <c r="H21" s="138"/>
    </row>
    <row r="22" spans="5:12">
      <c r="G22" s="121"/>
      <c r="H22" s="138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30"/>
  <sheetViews>
    <sheetView zoomScaleNormal="100" workbookViewId="0">
      <pane ySplit="6" topLeftCell="A7" activePane="bottomLeft" state="frozen"/>
      <selection activeCell="K30" sqref="I28:K30"/>
      <selection pane="bottomLeft" activeCell="H15" sqref="H15"/>
    </sheetView>
  </sheetViews>
  <sheetFormatPr defaultColWidth="10.875" defaultRowHeight="12"/>
  <cols>
    <col min="1" max="1" width="8.875" style="108" customWidth="1"/>
    <col min="2" max="2" width="6.625" style="108" bestFit="1" customWidth="1"/>
    <col min="3" max="3" width="9.25" style="108" bestFit="1" customWidth="1"/>
    <col min="4" max="4" width="13.25" style="108" bestFit="1" customWidth="1"/>
    <col min="5" max="5" width="17.875" style="108" bestFit="1" customWidth="1"/>
    <col min="6" max="6" width="57.75" style="108" bestFit="1" customWidth="1"/>
    <col min="7" max="7" width="10.25" style="108" bestFit="1" customWidth="1"/>
    <col min="8" max="8" width="12.375" style="114" bestFit="1" customWidth="1"/>
    <col min="9" max="9" width="12" style="114" bestFit="1" customWidth="1"/>
    <col min="10" max="10" width="13.75" style="108" customWidth="1"/>
    <col min="11" max="11" width="9.625" style="108" bestFit="1" customWidth="1"/>
    <col min="12" max="12" width="12.625" style="114" bestFit="1" customWidth="1"/>
    <col min="13" max="13" width="10.875" style="108" bestFit="1" customWidth="1"/>
    <col min="14" max="14" width="13" style="114" bestFit="1" customWidth="1"/>
    <col min="15" max="15" width="12.625" style="114" customWidth="1"/>
    <col min="16" max="16" width="9.375" style="108" bestFit="1" customWidth="1"/>
    <col min="17" max="16384" width="10.875" style="108"/>
  </cols>
  <sheetData>
    <row r="1" spans="1:22" s="105" customFormat="1">
      <c r="A1" s="16" t="s">
        <v>24</v>
      </c>
      <c r="B1" s="322"/>
      <c r="C1" s="322"/>
      <c r="D1" s="17"/>
      <c r="E1" s="449">
        <f>Totals!E8</f>
        <v>72070973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23"/>
      <c r="Q1" s="108"/>
      <c r="R1" s="108"/>
      <c r="S1" s="108"/>
      <c r="T1" s="108"/>
      <c r="U1" s="108"/>
      <c r="V1" s="108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9"/>
    </row>
    <row r="3" spans="1:22">
      <c r="A3" s="31"/>
      <c r="B3" s="5"/>
      <c r="C3" s="5"/>
      <c r="D3" s="5"/>
      <c r="E3" s="5"/>
      <c r="F3" s="5"/>
      <c r="G3" s="5"/>
      <c r="H3" s="46"/>
      <c r="I3" s="130"/>
      <c r="J3" s="6"/>
      <c r="K3" s="6"/>
      <c r="L3" s="224"/>
      <c r="M3" s="6"/>
      <c r="N3" s="55"/>
      <c r="O3" s="55"/>
      <c r="P3" s="109"/>
    </row>
    <row r="4" spans="1:22" s="106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163</v>
      </c>
      <c r="N4" s="32" t="s">
        <v>27</v>
      </c>
      <c r="O4" s="32" t="s">
        <v>44</v>
      </c>
      <c r="P4" s="109" t="s">
        <v>22</v>
      </c>
      <c r="Q4" s="108"/>
      <c r="R4" s="108"/>
      <c r="S4" s="108"/>
      <c r="T4" s="108"/>
      <c r="U4" s="108"/>
      <c r="V4" s="108"/>
    </row>
    <row r="5" spans="1:22" s="106" customFormat="1">
      <c r="A5" s="31" t="s">
        <v>248</v>
      </c>
      <c r="B5" s="5" t="s">
        <v>248</v>
      </c>
      <c r="C5" s="5" t="s">
        <v>48</v>
      </c>
      <c r="D5" s="13"/>
      <c r="E5" s="5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9" t="s">
        <v>5</v>
      </c>
      <c r="Q5" s="108"/>
      <c r="R5" s="108"/>
      <c r="S5" s="108"/>
      <c r="T5" s="108"/>
      <c r="U5" s="108"/>
      <c r="V5" s="108"/>
    </row>
    <row r="6" spans="1:22" s="110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111" t="s">
        <v>9</v>
      </c>
      <c r="Q6" s="108"/>
      <c r="R6" s="108"/>
      <c r="S6" s="108"/>
      <c r="T6" s="108"/>
      <c r="U6" s="108"/>
      <c r="V6" s="108"/>
    </row>
    <row r="7" spans="1:22" s="13" customFormat="1">
      <c r="A7" s="108">
        <v>116</v>
      </c>
      <c r="B7" s="108">
        <v>116</v>
      </c>
      <c r="C7" s="108">
        <v>4942</v>
      </c>
      <c r="D7" s="13" t="s">
        <v>203</v>
      </c>
      <c r="E7" s="13" t="s">
        <v>401</v>
      </c>
      <c r="F7" s="36" t="s">
        <v>402</v>
      </c>
      <c r="G7" s="13" t="s">
        <v>403</v>
      </c>
      <c r="H7" s="318">
        <v>10000000</v>
      </c>
      <c r="I7" s="318">
        <v>10000000</v>
      </c>
      <c r="J7" s="11">
        <v>43468</v>
      </c>
      <c r="K7" s="11">
        <f>J7+35</f>
        <v>43503</v>
      </c>
      <c r="L7" s="69">
        <v>10000000</v>
      </c>
      <c r="M7" s="11">
        <f>J7+150</f>
        <v>43618</v>
      </c>
      <c r="N7" s="69">
        <v>0</v>
      </c>
      <c r="O7" s="69">
        <f>L7-N7</f>
        <v>10000000</v>
      </c>
      <c r="P7" s="11">
        <v>43602</v>
      </c>
      <c r="Q7" s="43"/>
    </row>
    <row r="8" spans="1:22" s="457" customFormat="1">
      <c r="A8" s="450"/>
      <c r="B8" s="450"/>
      <c r="C8" s="450"/>
      <c r="D8" s="451"/>
      <c r="E8" s="450"/>
      <c r="F8" s="452"/>
      <c r="G8" s="452"/>
      <c r="H8" s="453"/>
      <c r="I8" s="453"/>
      <c r="J8" s="454"/>
      <c r="K8" s="454"/>
      <c r="L8" s="455"/>
      <c r="M8" s="454"/>
      <c r="N8" s="455"/>
      <c r="O8" s="455"/>
      <c r="P8" s="456"/>
    </row>
    <row r="9" spans="1:22" customFormat="1">
      <c r="A9" s="43"/>
      <c r="B9" s="43"/>
      <c r="C9" s="43"/>
      <c r="D9" s="210"/>
      <c r="E9" s="43"/>
      <c r="F9" s="152"/>
      <c r="G9" s="152"/>
      <c r="H9" s="60"/>
      <c r="I9" s="60"/>
      <c r="J9" s="158"/>
      <c r="K9" s="158"/>
      <c r="L9" s="209"/>
      <c r="M9" s="158"/>
      <c r="N9" s="209"/>
      <c r="O9" s="209"/>
      <c r="P9" s="211"/>
    </row>
    <row r="10" spans="1:22" customFormat="1">
      <c r="A10" s="43"/>
      <c r="B10" s="43"/>
      <c r="C10" s="43"/>
      <c r="D10" s="210"/>
      <c r="E10" s="43"/>
      <c r="F10" s="152"/>
      <c r="G10" s="152"/>
      <c r="H10" s="60"/>
      <c r="I10" s="60"/>
      <c r="J10" s="158"/>
      <c r="K10" s="158"/>
      <c r="L10" s="209"/>
      <c r="M10" s="158"/>
      <c r="N10" s="209"/>
      <c r="O10" s="209"/>
      <c r="P10" s="211"/>
    </row>
    <row r="11" spans="1:22" s="13" customFormat="1">
      <c r="A11" s="43"/>
      <c r="B11" s="43"/>
      <c r="C11" s="43"/>
      <c r="D11" s="43"/>
      <c r="E11" s="1"/>
      <c r="F11" s="13" t="s">
        <v>19</v>
      </c>
      <c r="H11" s="280">
        <f>SUM(H7:H10)</f>
        <v>10000000</v>
      </c>
      <c r="I11" s="280">
        <f>SUM(I7:I10)</f>
        <v>10000000</v>
      </c>
      <c r="J11" s="10"/>
      <c r="K11" s="10"/>
      <c r="L11" s="280">
        <f>SUM(L7:L10)</f>
        <v>10000000</v>
      </c>
      <c r="M11" s="10"/>
      <c r="N11" s="280">
        <f>SUM(N7:N10)</f>
        <v>0</v>
      </c>
      <c r="O11" s="280">
        <f>SUM(O7:O10)</f>
        <v>10000000</v>
      </c>
    </row>
    <row r="12" spans="1:22" s="1" customFormat="1">
      <c r="A12" s="5"/>
      <c r="B12" s="5"/>
      <c r="C12" s="5"/>
      <c r="D12" s="91"/>
      <c r="F12" s="13"/>
      <c r="H12" s="78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9"/>
      <c r="Q13" s="13"/>
    </row>
    <row r="14" spans="1:22" s="1" customFormat="1">
      <c r="A14" s="5"/>
      <c r="B14" s="5"/>
      <c r="C14" s="5"/>
      <c r="E14" s="5"/>
      <c r="G14" s="5"/>
      <c r="H14" s="69"/>
      <c r="I14" s="9"/>
      <c r="K14" s="142"/>
      <c r="L14" s="9"/>
      <c r="N14" s="78"/>
      <c r="Q14" s="13"/>
    </row>
    <row r="15" spans="1:22" s="1" customFormat="1">
      <c r="A15" s="5"/>
      <c r="B15" s="5"/>
      <c r="C15" s="5"/>
      <c r="E15" s="137"/>
      <c r="F15" s="59" t="s">
        <v>10</v>
      </c>
      <c r="G15" s="5"/>
      <c r="H15" s="79">
        <f>+E1-I11+O11+G19</f>
        <v>72070973</v>
      </c>
      <c r="I15" s="325"/>
      <c r="J15" s="142"/>
      <c r="L15" s="9"/>
      <c r="M15" s="142"/>
      <c r="Q15" s="13"/>
    </row>
    <row r="16" spans="1:22" s="1" customFormat="1">
      <c r="A16" s="5"/>
      <c r="B16" s="5"/>
      <c r="C16" s="5"/>
      <c r="E16" s="137"/>
      <c r="F16" s="59"/>
      <c r="G16" s="5"/>
      <c r="H16" s="128"/>
      <c r="I16" s="325"/>
      <c r="J16" s="142"/>
      <c r="L16" s="9"/>
      <c r="M16" s="142"/>
      <c r="Q16" s="13"/>
    </row>
    <row r="17" spans="1:22" s="1" customFormat="1">
      <c r="A17" s="5"/>
      <c r="B17" s="5"/>
      <c r="C17" s="5"/>
      <c r="E17" s="137"/>
      <c r="F17" s="59"/>
      <c r="G17" s="5"/>
      <c r="H17" s="128"/>
      <c r="I17" s="325"/>
      <c r="J17" s="142"/>
      <c r="L17" s="9"/>
      <c r="M17" s="142"/>
      <c r="Q17" s="13"/>
    </row>
    <row r="18" spans="1:22">
      <c r="A18" s="115"/>
      <c r="B18" s="115"/>
      <c r="C18" s="115"/>
      <c r="G18" s="329"/>
      <c r="J18" s="113"/>
      <c r="K18" s="113"/>
      <c r="M18" s="113"/>
      <c r="P18" s="112"/>
      <c r="Q18" s="106"/>
      <c r="R18" s="106"/>
      <c r="S18" s="106"/>
      <c r="T18" s="106"/>
      <c r="U18" s="106"/>
      <c r="V18" s="106"/>
    </row>
    <row r="19" spans="1:22">
      <c r="E19" s="106"/>
      <c r="F19" s="106"/>
      <c r="G19" s="360">
        <f>SUM(G17:G18)</f>
        <v>0</v>
      </c>
      <c r="H19" s="107"/>
      <c r="I19" s="145"/>
      <c r="J19" s="145"/>
    </row>
    <row r="21" spans="1:22">
      <c r="E21" s="106"/>
      <c r="F21" s="106"/>
      <c r="G21" s="106"/>
      <c r="H21" s="116"/>
    </row>
    <row r="25" spans="1:22">
      <c r="H25" s="150"/>
    </row>
    <row r="30" spans="1:22">
      <c r="K30" s="108" t="s">
        <v>7</v>
      </c>
    </row>
  </sheetData>
  <phoneticPr fontId="0" type="noConversion"/>
  <pageMargins left="0.75" right="0.75" top="1" bottom="1" header="0.5" footer="0.5"/>
  <pageSetup scale="61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8"/>
  <sheetViews>
    <sheetView workbookViewId="0">
      <selection activeCell="H20" sqref="H20"/>
    </sheetView>
  </sheetViews>
  <sheetFormatPr defaultColWidth="10.875" defaultRowHeight="12"/>
  <cols>
    <col min="1" max="1" width="8.875" style="13" customWidth="1"/>
    <col min="2" max="2" width="6.625" style="13" bestFit="1" customWidth="1"/>
    <col min="3" max="3" width="9.25" style="13" bestFit="1" customWidth="1"/>
    <col min="4" max="4" width="12.125" style="13" bestFit="1" customWidth="1"/>
    <col min="5" max="5" width="20.625" style="13" customWidth="1"/>
    <col min="6" max="6" width="40.25" style="13" customWidth="1"/>
    <col min="7" max="7" width="15" style="13" bestFit="1" customWidth="1"/>
    <col min="8" max="8" width="14.75" style="58" bestFit="1" customWidth="1"/>
    <col min="9" max="9" width="13.625" style="34" customWidth="1"/>
    <col min="10" max="10" width="14.25" style="13" customWidth="1"/>
    <col min="11" max="11" width="12" style="13" bestFit="1" customWidth="1"/>
    <col min="12" max="12" width="14" style="34" bestFit="1" customWidth="1"/>
    <col min="13" max="13" width="14" style="13" bestFit="1" customWidth="1"/>
    <col min="14" max="14" width="14.125" style="12" customWidth="1"/>
    <col min="15" max="15" width="15.125" style="12" bestFit="1" customWidth="1"/>
    <col min="16" max="16" width="10.125" style="13" customWidth="1"/>
    <col min="17" max="17" width="9.125" style="13" bestFit="1" customWidth="1"/>
    <col min="18" max="18" width="31" style="13" bestFit="1" customWidth="1"/>
    <col min="19" max="19" width="12.75" style="13" bestFit="1" customWidth="1"/>
    <col min="20" max="16384" width="10.875" style="13"/>
  </cols>
  <sheetData>
    <row r="1" spans="1:22" s="17" customFormat="1" ht="11.4">
      <c r="A1" s="16" t="s">
        <v>12</v>
      </c>
      <c r="B1" s="322"/>
      <c r="C1" s="322"/>
      <c r="E1" s="449">
        <f>Totals!F8</f>
        <v>94593152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30"/>
      <c r="J3" s="6"/>
      <c r="K3" s="6"/>
      <c r="L3" s="224"/>
      <c r="M3" s="6"/>
      <c r="N3" s="55"/>
      <c r="O3" s="55"/>
      <c r="P3" s="6"/>
      <c r="R3" s="306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 t="s">
        <v>9</v>
      </c>
      <c r="Q6" s="38"/>
      <c r="R6" s="466" t="s">
        <v>9</v>
      </c>
      <c r="S6" s="13"/>
      <c r="T6" s="13"/>
      <c r="U6" s="13"/>
      <c r="V6" s="13"/>
    </row>
    <row r="7" spans="1:22">
      <c r="A7" s="108" t="s">
        <v>147</v>
      </c>
      <c r="B7" s="108" t="s">
        <v>147</v>
      </c>
      <c r="C7" s="108">
        <v>4946</v>
      </c>
      <c r="D7" s="13" t="s">
        <v>204</v>
      </c>
      <c r="E7" s="13" t="s">
        <v>153</v>
      </c>
      <c r="F7" s="36" t="s">
        <v>620</v>
      </c>
      <c r="G7" s="13" t="s">
        <v>79</v>
      </c>
      <c r="H7" s="318">
        <v>11000000</v>
      </c>
      <c r="I7" s="318">
        <v>11000000</v>
      </c>
      <c r="J7" s="11">
        <v>43474</v>
      </c>
      <c r="K7" s="11">
        <f t="shared" ref="K7:K12" si="0">J7+35</f>
        <v>43509</v>
      </c>
      <c r="L7" s="69">
        <v>11000000</v>
      </c>
      <c r="M7" s="11">
        <f t="shared" ref="M7:M12" si="1">J7+180</f>
        <v>43654</v>
      </c>
      <c r="N7" s="318">
        <v>0</v>
      </c>
      <c r="O7" s="318">
        <f t="shared" ref="O7:O12" si="2">L7-N7</f>
        <v>11000000</v>
      </c>
      <c r="P7" s="11">
        <v>43658</v>
      </c>
      <c r="Q7" s="13" t="s">
        <v>508</v>
      </c>
      <c r="R7" s="338"/>
      <c r="S7" s="519" t="s">
        <v>621</v>
      </c>
    </row>
    <row r="8" spans="1:22">
      <c r="A8" s="13" t="s">
        <v>147</v>
      </c>
      <c r="B8" s="13" t="s">
        <v>147</v>
      </c>
      <c r="C8" s="13">
        <v>4996</v>
      </c>
      <c r="D8" s="13" t="s">
        <v>203</v>
      </c>
      <c r="E8" s="13" t="s">
        <v>153</v>
      </c>
      <c r="F8" s="36" t="s">
        <v>652</v>
      </c>
      <c r="G8" s="36" t="s">
        <v>653</v>
      </c>
      <c r="H8" s="318">
        <v>16000000</v>
      </c>
      <c r="I8" s="318">
        <v>16000000</v>
      </c>
      <c r="J8" s="11">
        <v>43495</v>
      </c>
      <c r="K8" s="11">
        <f t="shared" si="0"/>
        <v>43530</v>
      </c>
      <c r="L8" s="340">
        <v>16000000</v>
      </c>
      <c r="M8" s="11">
        <f t="shared" si="1"/>
        <v>43675</v>
      </c>
      <c r="N8" s="318">
        <v>0</v>
      </c>
      <c r="O8" s="318">
        <f t="shared" si="2"/>
        <v>16000000</v>
      </c>
      <c r="P8" s="11">
        <v>43651</v>
      </c>
      <c r="Q8" s="13" t="s">
        <v>508</v>
      </c>
      <c r="S8" s="50"/>
    </row>
    <row r="9" spans="1:22">
      <c r="A9" s="13" t="s">
        <v>147</v>
      </c>
      <c r="B9" s="13" t="s">
        <v>147</v>
      </c>
      <c r="C9" s="13">
        <v>5005</v>
      </c>
      <c r="D9" s="13" t="s">
        <v>204</v>
      </c>
      <c r="E9" s="13" t="s">
        <v>153</v>
      </c>
      <c r="F9" s="36" t="s">
        <v>679</v>
      </c>
      <c r="G9" s="36" t="s">
        <v>79</v>
      </c>
      <c r="H9" s="318">
        <v>26000000</v>
      </c>
      <c r="I9" s="318">
        <v>26000000</v>
      </c>
      <c r="J9" s="11">
        <v>43508</v>
      </c>
      <c r="K9" s="11">
        <f t="shared" si="0"/>
        <v>43543</v>
      </c>
      <c r="L9" s="324">
        <v>26000000</v>
      </c>
      <c r="M9" s="11">
        <f t="shared" si="1"/>
        <v>43688</v>
      </c>
      <c r="N9" s="404">
        <f>23500000-836.3</f>
        <v>23499163.699999999</v>
      </c>
      <c r="O9" s="404">
        <f t="shared" si="2"/>
        <v>2500836.3000000007</v>
      </c>
      <c r="P9" s="11">
        <v>43678</v>
      </c>
      <c r="Q9" s="13" t="s">
        <v>508</v>
      </c>
      <c r="S9" s="519" t="s">
        <v>621</v>
      </c>
    </row>
    <row r="10" spans="1:22">
      <c r="A10" s="13" t="s">
        <v>147</v>
      </c>
      <c r="B10" s="13" t="s">
        <v>147</v>
      </c>
      <c r="C10" s="13">
        <v>5037</v>
      </c>
      <c r="D10" s="13" t="s">
        <v>203</v>
      </c>
      <c r="E10" s="13" t="s">
        <v>153</v>
      </c>
      <c r="F10" s="13" t="s">
        <v>795</v>
      </c>
      <c r="G10" s="13" t="s">
        <v>79</v>
      </c>
      <c r="H10" s="318">
        <v>38000000</v>
      </c>
      <c r="I10" s="318">
        <v>38000000</v>
      </c>
      <c r="J10" s="11">
        <v>43620</v>
      </c>
      <c r="K10" s="11">
        <f t="shared" si="0"/>
        <v>43655</v>
      </c>
      <c r="L10" s="318">
        <v>38000000</v>
      </c>
      <c r="M10" s="11">
        <f t="shared" si="1"/>
        <v>43800</v>
      </c>
      <c r="N10" s="318">
        <v>0</v>
      </c>
      <c r="O10" s="318">
        <f t="shared" si="2"/>
        <v>38000000</v>
      </c>
      <c r="P10" s="11">
        <v>43687</v>
      </c>
      <c r="Q10" s="13" t="s">
        <v>508</v>
      </c>
      <c r="R10" s="338"/>
      <c r="S10" s="50"/>
    </row>
    <row r="11" spans="1:22">
      <c r="A11" s="13" t="s">
        <v>147</v>
      </c>
      <c r="B11" s="13" t="s">
        <v>147</v>
      </c>
      <c r="C11" s="13">
        <v>5048</v>
      </c>
      <c r="D11" s="13" t="s">
        <v>204</v>
      </c>
      <c r="E11" s="13" t="s">
        <v>153</v>
      </c>
      <c r="F11" s="13" t="s">
        <v>652</v>
      </c>
      <c r="G11" s="13" t="s">
        <v>653</v>
      </c>
      <c r="H11" s="318">
        <v>16000000</v>
      </c>
      <c r="I11" s="318">
        <v>16000000</v>
      </c>
      <c r="J11" s="11">
        <v>43652</v>
      </c>
      <c r="K11" s="11">
        <f t="shared" si="0"/>
        <v>43687</v>
      </c>
      <c r="L11" s="318">
        <v>16000000</v>
      </c>
      <c r="M11" s="11">
        <f t="shared" si="1"/>
        <v>43832</v>
      </c>
      <c r="N11" s="404">
        <v>14999167.300000001</v>
      </c>
      <c r="O11" s="404">
        <f t="shared" si="2"/>
        <v>1000832.6999999993</v>
      </c>
      <c r="P11" s="11">
        <v>43728</v>
      </c>
      <c r="Q11" s="13" t="s">
        <v>508</v>
      </c>
      <c r="R11" s="338"/>
      <c r="S11" s="50"/>
    </row>
    <row r="12" spans="1:22" s="477" customFormat="1">
      <c r="A12" s="477" t="s">
        <v>147</v>
      </c>
      <c r="B12" s="477" t="s">
        <v>147</v>
      </c>
      <c r="C12" s="477">
        <v>5069</v>
      </c>
      <c r="D12" s="477" t="s">
        <v>204</v>
      </c>
      <c r="E12" s="477" t="s">
        <v>153</v>
      </c>
      <c r="F12" s="477" t="s">
        <v>795</v>
      </c>
      <c r="G12" s="477" t="s">
        <v>79</v>
      </c>
      <c r="H12" s="475">
        <v>38000000</v>
      </c>
      <c r="I12" s="475">
        <v>38000000</v>
      </c>
      <c r="J12" s="487">
        <v>43687</v>
      </c>
      <c r="K12" s="487">
        <f t="shared" si="0"/>
        <v>43722</v>
      </c>
      <c r="L12" s="475">
        <v>38000000</v>
      </c>
      <c r="M12" s="487">
        <f t="shared" si="1"/>
        <v>43867</v>
      </c>
      <c r="N12" s="475">
        <v>31500000</v>
      </c>
      <c r="O12" s="475">
        <f t="shared" si="2"/>
        <v>6500000</v>
      </c>
      <c r="P12" s="487">
        <v>43816</v>
      </c>
      <c r="Q12" s="477" t="s">
        <v>508</v>
      </c>
      <c r="R12" s="556"/>
      <c r="S12" s="592"/>
    </row>
    <row r="13" spans="1:22">
      <c r="E13" s="36"/>
      <c r="H13" s="60"/>
      <c r="I13" s="60"/>
      <c r="J13" s="11"/>
      <c r="K13" s="158"/>
      <c r="L13" s="340"/>
      <c r="M13" s="158"/>
      <c r="N13" s="340"/>
      <c r="O13" s="340"/>
      <c r="P13" s="11"/>
      <c r="S13" s="50"/>
    </row>
    <row r="14" spans="1:22">
      <c r="E14" s="36"/>
      <c r="H14" s="60"/>
      <c r="I14" s="60"/>
      <c r="J14" s="11"/>
      <c r="K14" s="158"/>
      <c r="L14" s="340"/>
      <c r="M14" s="158"/>
      <c r="N14" s="340"/>
      <c r="O14" s="340"/>
      <c r="P14" s="11"/>
      <c r="S14" s="50"/>
    </row>
    <row r="15" spans="1:22">
      <c r="E15" s="36"/>
      <c r="H15" s="60"/>
      <c r="I15" s="60"/>
      <c r="J15" s="11"/>
      <c r="K15" s="158"/>
      <c r="L15" s="340"/>
      <c r="M15" s="158"/>
      <c r="N15" s="340"/>
      <c r="O15" s="340"/>
      <c r="P15" s="11"/>
      <c r="S15" s="50"/>
    </row>
    <row r="16" spans="1:22">
      <c r="A16" s="43"/>
      <c r="B16" s="43"/>
      <c r="C16" s="43"/>
      <c r="D16" s="43"/>
      <c r="E16" s="1"/>
      <c r="F16" s="13" t="s">
        <v>19</v>
      </c>
      <c r="H16" s="280">
        <f>SUM(H7:H15)</f>
        <v>145000000</v>
      </c>
      <c r="I16" s="280">
        <f>SUM(I7:I15)</f>
        <v>145000000</v>
      </c>
      <c r="J16" s="10"/>
      <c r="K16" s="10"/>
      <c r="L16" s="280">
        <f>SUM(L7:L15)</f>
        <v>145000000</v>
      </c>
      <c r="M16" s="10"/>
      <c r="N16" s="280">
        <f>SUM(N7:N15)</f>
        <v>69998331</v>
      </c>
      <c r="O16" s="280">
        <f>SUM(O7:O15)</f>
        <v>75001669</v>
      </c>
    </row>
    <row r="17" spans="1:22" s="1" customFormat="1">
      <c r="A17" s="5"/>
      <c r="B17" s="5"/>
      <c r="C17" s="5"/>
      <c r="D17" s="91"/>
      <c r="F17" s="13"/>
      <c r="H17" s="78"/>
      <c r="J17" s="11"/>
      <c r="K17" s="11"/>
      <c r="L17" s="9"/>
      <c r="M17" s="6"/>
      <c r="P17" s="3">
        <f>J12+150</f>
        <v>43837</v>
      </c>
      <c r="Q17" s="13"/>
    </row>
    <row r="18" spans="1:22" s="1" customFormat="1">
      <c r="A18" s="5"/>
      <c r="B18" s="5"/>
      <c r="C18" s="5"/>
      <c r="F18" s="13" t="s">
        <v>43</v>
      </c>
      <c r="G18" s="5"/>
      <c r="H18" s="34">
        <f>SUM(H16-I16)</f>
        <v>0</v>
      </c>
      <c r="I18" s="9"/>
      <c r="L18" s="9"/>
      <c r="Q18" s="13"/>
    </row>
    <row r="19" spans="1:22" s="1" customFormat="1">
      <c r="A19" s="5"/>
      <c r="B19" s="5"/>
      <c r="C19" s="5"/>
      <c r="G19" s="5"/>
      <c r="H19" s="69"/>
      <c r="I19" s="9"/>
      <c r="K19" s="142"/>
      <c r="L19" s="9"/>
      <c r="M19" s="3"/>
      <c r="N19" s="78"/>
      <c r="Q19" s="13"/>
    </row>
    <row r="20" spans="1:22" s="1" customFormat="1">
      <c r="A20" s="5"/>
      <c r="B20" s="5"/>
      <c r="C20" s="5"/>
      <c r="E20" s="137"/>
      <c r="F20" s="59" t="s">
        <v>10</v>
      </c>
      <c r="G20" s="5"/>
      <c r="H20" s="400">
        <f>E1-I16+O16+G24</f>
        <v>24594821</v>
      </c>
      <c r="I20" s="325"/>
      <c r="J20" s="142"/>
      <c r="L20" s="9"/>
      <c r="M20" s="3"/>
      <c r="N20" s="9"/>
      <c r="Q20" s="13"/>
    </row>
    <row r="21" spans="1:22" s="5" customFormat="1" ht="11.25" customHeight="1">
      <c r="A21" s="4"/>
      <c r="B21" s="4"/>
      <c r="C21" s="4"/>
      <c r="D21" s="48"/>
      <c r="E21" s="48"/>
      <c r="F21" s="4"/>
      <c r="G21" s="48"/>
      <c r="H21" s="77"/>
      <c r="I21" s="99"/>
      <c r="J21" s="6"/>
      <c r="K21" s="6"/>
      <c r="L21" s="61"/>
      <c r="M21" s="6"/>
      <c r="N21" s="44"/>
      <c r="O21" s="46"/>
      <c r="P21" s="6"/>
      <c r="Q21" s="48"/>
      <c r="T21" s="13"/>
      <c r="V21" s="69"/>
    </row>
    <row r="22" spans="1:22">
      <c r="G22" s="157"/>
      <c r="L22" s="35"/>
    </row>
    <row r="23" spans="1:22">
      <c r="C23" s="43"/>
      <c r="D23" s="43"/>
      <c r="E23" s="152"/>
      <c r="F23" s="152"/>
      <c r="G23" s="517"/>
      <c r="H23" s="474"/>
      <c r="L23" s="35"/>
    </row>
    <row r="24" spans="1:22">
      <c r="G24" s="491">
        <f>SUM(G23:G23)</f>
        <v>0</v>
      </c>
      <c r="K24" s="101"/>
    </row>
    <row r="25" spans="1:22">
      <c r="G25" s="69"/>
      <c r="K25" s="101"/>
      <c r="L25" s="35"/>
    </row>
    <row r="26" spans="1:22">
      <c r="G26" s="69"/>
      <c r="K26" s="101"/>
    </row>
    <row r="27" spans="1:22">
      <c r="G27" s="69"/>
      <c r="K27" s="101"/>
      <c r="L27" s="221"/>
      <c r="M27" s="11"/>
    </row>
    <row r="28" spans="1:22">
      <c r="G28" s="69"/>
      <c r="K28" s="101"/>
      <c r="L28" s="35"/>
    </row>
    <row r="29" spans="1:22">
      <c r="G29" s="69"/>
      <c r="K29" s="101"/>
    </row>
    <row r="30" spans="1:22">
      <c r="G30" s="69"/>
      <c r="K30" s="101"/>
      <c r="L30" s="61"/>
      <c r="M30" s="505"/>
    </row>
    <row r="31" spans="1:22">
      <c r="G31" s="69"/>
      <c r="K31" s="101"/>
      <c r="L31" s="15"/>
      <c r="M31" s="505"/>
    </row>
    <row r="32" spans="1:22">
      <c r="G32" s="69"/>
      <c r="K32" s="101"/>
      <c r="L32" s="513"/>
      <c r="M32" s="50"/>
    </row>
    <row r="33" spans="7:13">
      <c r="G33" s="69"/>
      <c r="K33" s="101"/>
      <c r="L33" s="513"/>
      <c r="M33" s="50"/>
    </row>
    <row r="34" spans="7:13">
      <c r="G34" s="69"/>
      <c r="K34" s="101"/>
    </row>
    <row r="35" spans="7:13">
      <c r="G35" s="69"/>
      <c r="K35" s="101"/>
      <c r="L35" s="513"/>
    </row>
    <row r="36" spans="7:13">
      <c r="G36" s="69"/>
      <c r="K36" s="101"/>
      <c r="L36" s="513"/>
    </row>
    <row r="37" spans="7:13">
      <c r="G37" s="69"/>
      <c r="K37" s="101"/>
    </row>
    <row r="38" spans="7:13">
      <c r="G38" s="69"/>
      <c r="K38" s="101"/>
    </row>
    <row r="39" spans="7:13">
      <c r="G39" s="69"/>
      <c r="K39" s="101"/>
    </row>
    <row r="40" spans="7:13">
      <c r="G40" s="69"/>
      <c r="K40" s="101"/>
    </row>
    <row r="41" spans="7:13">
      <c r="G41" s="69"/>
      <c r="K41" s="101"/>
    </row>
    <row r="42" spans="7:13">
      <c r="G42" s="69"/>
      <c r="K42" s="101"/>
    </row>
    <row r="43" spans="7:13">
      <c r="G43" s="69"/>
      <c r="K43" s="101"/>
    </row>
    <row r="44" spans="7:13">
      <c r="G44" s="69"/>
      <c r="K44" s="101"/>
    </row>
    <row r="45" spans="7:13">
      <c r="G45" s="69"/>
      <c r="K45" s="101"/>
    </row>
    <row r="46" spans="7:13">
      <c r="G46" s="69"/>
      <c r="K46" s="101"/>
    </row>
    <row r="47" spans="7:13">
      <c r="G47" s="69"/>
      <c r="K47" s="101"/>
    </row>
    <row r="48" spans="7:13">
      <c r="G48" s="69"/>
      <c r="K48" s="101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5"/>
  <sheetViews>
    <sheetView zoomScaleNormal="100" workbookViewId="0">
      <pane ySplit="6" topLeftCell="A7" activePane="bottomLeft" state="frozen"/>
      <selection activeCell="K30" sqref="I28:K30"/>
      <selection pane="bottomLeft" activeCell="H26" sqref="H26"/>
    </sheetView>
  </sheetViews>
  <sheetFormatPr defaultColWidth="10.875" defaultRowHeight="12"/>
  <cols>
    <col min="1" max="1" width="9.25" style="13" customWidth="1"/>
    <col min="2" max="2" width="6.625" style="13" bestFit="1" customWidth="1"/>
    <col min="3" max="3" width="9.25" style="13" bestFit="1" customWidth="1"/>
    <col min="4" max="4" width="13.25" style="13" bestFit="1" customWidth="1"/>
    <col min="5" max="5" width="16.875" style="13" customWidth="1"/>
    <col min="6" max="6" width="25.25" style="13" customWidth="1"/>
    <col min="7" max="7" width="13.125" style="13" bestFit="1" customWidth="1"/>
    <col min="8" max="8" width="16.125" style="66" bestFit="1" customWidth="1"/>
    <col min="9" max="9" width="15.875" style="66" bestFit="1" customWidth="1"/>
    <col min="10" max="10" width="13.875" style="131" bestFit="1" customWidth="1"/>
    <col min="11" max="11" width="10.875" style="13" bestFit="1" customWidth="1"/>
    <col min="12" max="12" width="12.625" style="61" bestFit="1" customWidth="1"/>
    <col min="13" max="13" width="10.625" style="13" bestFit="1" customWidth="1"/>
    <col min="14" max="14" width="14.875" style="12" bestFit="1" customWidth="1"/>
    <col min="15" max="15" width="12.875" style="41" bestFit="1" customWidth="1"/>
    <col min="16" max="16" width="9.375" style="13" bestFit="1" customWidth="1"/>
    <col min="17" max="17" width="9.125" style="13" bestFit="1" customWidth="1"/>
    <col min="18" max="18" width="44.125" style="13" bestFit="1" customWidth="1"/>
    <col min="19" max="16384" width="10.875" style="13"/>
  </cols>
  <sheetData>
    <row r="1" spans="1:22" s="17" customFormat="1" ht="11.4">
      <c r="A1" s="16" t="s">
        <v>12</v>
      </c>
      <c r="B1" s="322"/>
      <c r="C1" s="322"/>
      <c r="E1" s="465">
        <f>Totals!G8</f>
        <v>189186304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305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30"/>
      <c r="J3" s="6"/>
      <c r="K3" s="6"/>
      <c r="L3" s="224"/>
      <c r="M3" s="6"/>
      <c r="N3" s="55"/>
      <c r="O3" s="55"/>
      <c r="P3" s="6"/>
      <c r="R3" s="306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 t="s">
        <v>9</v>
      </c>
      <c r="Q6" s="38"/>
      <c r="R6" s="466" t="s">
        <v>9</v>
      </c>
      <c r="S6" s="13"/>
      <c r="T6" s="13"/>
      <c r="U6" s="13"/>
      <c r="V6" s="13"/>
    </row>
    <row r="7" spans="1:22">
      <c r="A7" s="13">
        <v>11</v>
      </c>
      <c r="B7" s="13">
        <v>17</v>
      </c>
      <c r="C7" s="13">
        <v>4944</v>
      </c>
      <c r="D7" s="13" t="s">
        <v>204</v>
      </c>
      <c r="E7" s="13" t="s">
        <v>76</v>
      </c>
      <c r="F7" s="13" t="s">
        <v>406</v>
      </c>
      <c r="G7" s="13" t="s">
        <v>201</v>
      </c>
      <c r="H7" s="318">
        <v>40000000</v>
      </c>
      <c r="I7" s="318">
        <v>40000000</v>
      </c>
      <c r="J7" s="11">
        <v>43473</v>
      </c>
      <c r="K7" s="11">
        <f>J7+35</f>
        <v>43508</v>
      </c>
      <c r="L7" s="318">
        <v>40000000</v>
      </c>
      <c r="M7" s="11">
        <f>J7+180</f>
        <v>43653</v>
      </c>
      <c r="N7" s="318">
        <v>23140000</v>
      </c>
      <c r="O7" s="318">
        <f>L7-N7</f>
        <v>16860000</v>
      </c>
      <c r="P7" s="11">
        <v>43652</v>
      </c>
      <c r="Q7" s="13" t="s">
        <v>272</v>
      </c>
      <c r="R7" s="476" t="s">
        <v>619</v>
      </c>
    </row>
    <row r="8" spans="1:22">
      <c r="A8" s="13">
        <v>12</v>
      </c>
      <c r="B8" s="13">
        <v>20</v>
      </c>
      <c r="C8" s="13" t="s">
        <v>404</v>
      </c>
      <c r="D8" s="13" t="s">
        <v>203</v>
      </c>
      <c r="E8" s="13" t="s">
        <v>76</v>
      </c>
      <c r="F8" s="13" t="s">
        <v>407</v>
      </c>
      <c r="G8" s="13" t="s">
        <v>258</v>
      </c>
      <c r="H8" s="318">
        <v>0</v>
      </c>
      <c r="I8" s="318"/>
      <c r="J8" s="11"/>
      <c r="K8" s="11"/>
      <c r="L8" s="318"/>
      <c r="M8" s="11"/>
      <c r="N8" s="318"/>
      <c r="O8" s="318"/>
      <c r="P8" s="11"/>
      <c r="Q8" s="13" t="s">
        <v>253</v>
      </c>
    </row>
    <row r="9" spans="1:22">
      <c r="A9" s="13">
        <v>24</v>
      </c>
      <c r="B9" s="13">
        <v>37</v>
      </c>
      <c r="C9" s="13" t="s">
        <v>405</v>
      </c>
      <c r="D9" s="13" t="s">
        <v>203</v>
      </c>
      <c r="E9" s="13" t="s">
        <v>76</v>
      </c>
      <c r="F9" s="13" t="s">
        <v>408</v>
      </c>
      <c r="G9" s="13" t="s">
        <v>342</v>
      </c>
      <c r="H9" s="318">
        <v>0</v>
      </c>
      <c r="I9" s="318"/>
      <c r="J9" s="11"/>
      <c r="K9" s="11"/>
      <c r="L9" s="318"/>
      <c r="M9" s="11"/>
      <c r="N9" s="318"/>
      <c r="O9" s="318"/>
      <c r="P9" s="11"/>
      <c r="Q9" s="13" t="s">
        <v>272</v>
      </c>
      <c r="R9" s="402" t="s">
        <v>623</v>
      </c>
    </row>
    <row r="10" spans="1:22">
      <c r="A10" s="13">
        <v>28</v>
      </c>
      <c r="B10" s="13">
        <v>43</v>
      </c>
      <c r="C10" s="13">
        <v>4958</v>
      </c>
      <c r="D10" s="13" t="s">
        <v>203</v>
      </c>
      <c r="E10" s="13" t="s">
        <v>76</v>
      </c>
      <c r="F10" s="13" t="s">
        <v>340</v>
      </c>
      <c r="G10" s="13" t="s">
        <v>80</v>
      </c>
      <c r="H10" s="318">
        <v>10000000</v>
      </c>
      <c r="I10" s="318">
        <v>10000000</v>
      </c>
      <c r="J10" s="11">
        <v>43481</v>
      </c>
      <c r="K10" s="11">
        <f t="shared" ref="K10:K19" si="0">J10+35</f>
        <v>43516</v>
      </c>
      <c r="L10" s="318">
        <v>10000000</v>
      </c>
      <c r="M10" s="11">
        <f t="shared" ref="M10:M19" si="1">J10+180</f>
        <v>43661</v>
      </c>
      <c r="N10" s="318">
        <v>0</v>
      </c>
      <c r="O10" s="318">
        <f t="shared" ref="O10:O18" si="2">L10-N10</f>
        <v>10000000</v>
      </c>
      <c r="P10" s="11">
        <v>43533</v>
      </c>
      <c r="Q10" s="13" t="s">
        <v>252</v>
      </c>
      <c r="R10" s="476" t="s">
        <v>634</v>
      </c>
    </row>
    <row r="11" spans="1:22">
      <c r="A11" s="13">
        <v>71</v>
      </c>
      <c r="B11" s="13">
        <v>82</v>
      </c>
      <c r="C11" s="13">
        <v>4966</v>
      </c>
      <c r="D11" s="13" t="s">
        <v>204</v>
      </c>
      <c r="E11" s="13" t="s">
        <v>76</v>
      </c>
      <c r="F11" s="13" t="s">
        <v>409</v>
      </c>
      <c r="G11" s="13" t="s">
        <v>95</v>
      </c>
      <c r="H11" s="318">
        <v>30860000</v>
      </c>
      <c r="I11" s="318">
        <v>30860000</v>
      </c>
      <c r="J11" s="11">
        <v>43484</v>
      </c>
      <c r="K11" s="11">
        <f t="shared" si="0"/>
        <v>43519</v>
      </c>
      <c r="L11" s="318">
        <v>30860000</v>
      </c>
      <c r="M11" s="11">
        <f t="shared" si="1"/>
        <v>43664</v>
      </c>
      <c r="N11" s="318">
        <v>30860000</v>
      </c>
      <c r="O11" s="318">
        <f t="shared" si="2"/>
        <v>0</v>
      </c>
      <c r="P11" s="11">
        <v>43659</v>
      </c>
      <c r="Q11" s="13" t="s">
        <v>410</v>
      </c>
      <c r="R11" s="476" t="s">
        <v>638</v>
      </c>
    </row>
    <row r="12" spans="1:22">
      <c r="A12" s="13">
        <v>81</v>
      </c>
      <c r="B12" s="13">
        <v>89</v>
      </c>
      <c r="C12" s="13">
        <v>4970</v>
      </c>
      <c r="D12" s="13" t="s">
        <v>203</v>
      </c>
      <c r="E12" s="13" t="s">
        <v>76</v>
      </c>
      <c r="F12" s="13" t="s">
        <v>337</v>
      </c>
      <c r="G12" s="13" t="s">
        <v>338</v>
      </c>
      <c r="H12" s="318">
        <v>27000000</v>
      </c>
      <c r="I12" s="318">
        <v>27000000</v>
      </c>
      <c r="J12" s="11">
        <v>43487</v>
      </c>
      <c r="K12" s="11">
        <f t="shared" si="0"/>
        <v>43522</v>
      </c>
      <c r="L12" s="318">
        <v>27000000</v>
      </c>
      <c r="M12" s="11">
        <f t="shared" si="1"/>
        <v>43667</v>
      </c>
      <c r="N12" s="318">
        <v>0</v>
      </c>
      <c r="O12" s="318">
        <f t="shared" si="2"/>
        <v>27000000</v>
      </c>
      <c r="P12" s="11">
        <v>43635</v>
      </c>
      <c r="Q12" s="13" t="s">
        <v>410</v>
      </c>
      <c r="R12" s="476" t="s">
        <v>643</v>
      </c>
    </row>
    <row r="13" spans="1:22">
      <c r="A13" s="13">
        <v>103</v>
      </c>
      <c r="B13" s="13">
        <v>108</v>
      </c>
      <c r="C13" s="13">
        <v>4971</v>
      </c>
      <c r="D13" s="13" t="s">
        <v>204</v>
      </c>
      <c r="E13" s="13" t="s">
        <v>76</v>
      </c>
      <c r="F13" s="13" t="s">
        <v>339</v>
      </c>
      <c r="G13" s="13" t="s">
        <v>79</v>
      </c>
      <c r="H13" s="318">
        <v>35000000</v>
      </c>
      <c r="I13" s="318">
        <v>35000000</v>
      </c>
      <c r="J13" s="11">
        <v>43487</v>
      </c>
      <c r="K13" s="11">
        <f t="shared" si="0"/>
        <v>43522</v>
      </c>
      <c r="L13" s="318">
        <v>35000000</v>
      </c>
      <c r="M13" s="11">
        <f t="shared" si="1"/>
        <v>43667</v>
      </c>
      <c r="N13" s="318">
        <v>30750000</v>
      </c>
      <c r="O13" s="318">
        <f t="shared" si="2"/>
        <v>4250000</v>
      </c>
      <c r="P13" s="11">
        <v>43652</v>
      </c>
      <c r="Q13" s="13" t="s">
        <v>410</v>
      </c>
      <c r="R13" s="476" t="s">
        <v>643</v>
      </c>
    </row>
    <row r="14" spans="1:22">
      <c r="A14" s="13" t="s">
        <v>147</v>
      </c>
      <c r="B14" s="13" t="s">
        <v>147</v>
      </c>
      <c r="C14" s="13">
        <v>4978</v>
      </c>
      <c r="D14" s="13" t="s">
        <v>204</v>
      </c>
      <c r="E14" s="13" t="s">
        <v>76</v>
      </c>
      <c r="F14" s="13" t="s">
        <v>407</v>
      </c>
      <c r="G14" s="13" t="s">
        <v>258</v>
      </c>
      <c r="H14" s="318">
        <v>12500000</v>
      </c>
      <c r="I14" s="318">
        <v>12500000</v>
      </c>
      <c r="J14" s="11">
        <v>43489</v>
      </c>
      <c r="K14" s="11">
        <f t="shared" si="0"/>
        <v>43524</v>
      </c>
      <c r="L14" s="318">
        <v>12500000</v>
      </c>
      <c r="M14" s="11">
        <f t="shared" si="1"/>
        <v>43669</v>
      </c>
      <c r="N14" s="404">
        <v>12499492.199999999</v>
      </c>
      <c r="O14" s="404">
        <f t="shared" si="2"/>
        <v>507.80000000074506</v>
      </c>
      <c r="P14" s="11">
        <v>43672</v>
      </c>
      <c r="Q14" s="13" t="s">
        <v>344</v>
      </c>
      <c r="R14" s="476" t="s">
        <v>650</v>
      </c>
    </row>
    <row r="15" spans="1:22">
      <c r="A15" s="13" t="s">
        <v>147</v>
      </c>
      <c r="B15" s="13" t="s">
        <v>147</v>
      </c>
      <c r="C15" s="13">
        <v>4979</v>
      </c>
      <c r="D15" s="13" t="s">
        <v>204</v>
      </c>
      <c r="E15" s="13" t="s">
        <v>76</v>
      </c>
      <c r="F15" s="13" t="s">
        <v>626</v>
      </c>
      <c r="G15" s="13" t="s">
        <v>82</v>
      </c>
      <c r="H15" s="318">
        <v>1000000</v>
      </c>
      <c r="I15" s="318">
        <v>1000000</v>
      </c>
      <c r="J15" s="11">
        <v>43489</v>
      </c>
      <c r="K15" s="11">
        <f t="shared" si="0"/>
        <v>43524</v>
      </c>
      <c r="L15" s="318">
        <v>1000000</v>
      </c>
      <c r="M15" s="11">
        <f t="shared" si="1"/>
        <v>43669</v>
      </c>
      <c r="N15" s="404">
        <v>997706.4</v>
      </c>
      <c r="O15" s="404">
        <f t="shared" si="2"/>
        <v>2293.5999999999767</v>
      </c>
      <c r="P15" s="11">
        <v>43543</v>
      </c>
      <c r="Q15" s="13" t="s">
        <v>252</v>
      </c>
      <c r="R15" s="476" t="s">
        <v>650</v>
      </c>
    </row>
    <row r="16" spans="1:22">
      <c r="A16" s="13" t="s">
        <v>147</v>
      </c>
      <c r="B16" s="13" t="s">
        <v>147</v>
      </c>
      <c r="C16" s="13">
        <v>4987</v>
      </c>
      <c r="D16" s="13" t="s">
        <v>204</v>
      </c>
      <c r="E16" s="13" t="s">
        <v>76</v>
      </c>
      <c r="F16" s="13" t="s">
        <v>627</v>
      </c>
      <c r="G16" s="13" t="s">
        <v>628</v>
      </c>
      <c r="H16" s="318">
        <v>950000</v>
      </c>
      <c r="I16" s="318">
        <v>950000</v>
      </c>
      <c r="J16" s="11">
        <v>43494</v>
      </c>
      <c r="K16" s="11">
        <f t="shared" si="0"/>
        <v>43529</v>
      </c>
      <c r="L16" s="318">
        <v>950000</v>
      </c>
      <c r="M16" s="11">
        <f t="shared" si="1"/>
        <v>43674</v>
      </c>
      <c r="N16" s="404">
        <v>949334.2</v>
      </c>
      <c r="O16" s="404">
        <f t="shared" si="2"/>
        <v>665.80000000004657</v>
      </c>
      <c r="P16" s="11">
        <v>43543</v>
      </c>
      <c r="Q16" s="13" t="s">
        <v>252</v>
      </c>
      <c r="R16" s="476" t="s">
        <v>663</v>
      </c>
    </row>
    <row r="17" spans="1:18">
      <c r="A17" s="13" t="s">
        <v>147</v>
      </c>
      <c r="B17" s="13" t="s">
        <v>147</v>
      </c>
      <c r="C17" s="13">
        <v>4988</v>
      </c>
      <c r="D17" s="13" t="s">
        <v>203</v>
      </c>
      <c r="E17" s="13" t="s">
        <v>76</v>
      </c>
      <c r="F17" s="13" t="s">
        <v>629</v>
      </c>
      <c r="G17" s="13" t="s">
        <v>80</v>
      </c>
      <c r="H17" s="318">
        <v>24000000</v>
      </c>
      <c r="I17" s="318">
        <v>24000000</v>
      </c>
      <c r="J17" s="11">
        <v>43494</v>
      </c>
      <c r="K17" s="11">
        <f t="shared" si="0"/>
        <v>43529</v>
      </c>
      <c r="L17" s="318">
        <v>24000000</v>
      </c>
      <c r="M17" s="11">
        <f t="shared" si="1"/>
        <v>43674</v>
      </c>
      <c r="N17" s="318">
        <v>0</v>
      </c>
      <c r="O17" s="318">
        <f t="shared" si="2"/>
        <v>24000000</v>
      </c>
      <c r="P17" s="11">
        <v>43635</v>
      </c>
      <c r="Q17" s="13" t="s">
        <v>410</v>
      </c>
      <c r="R17" s="476" t="s">
        <v>663</v>
      </c>
    </row>
    <row r="18" spans="1:18">
      <c r="A18" s="13" t="s">
        <v>147</v>
      </c>
      <c r="B18" s="13" t="s">
        <v>147</v>
      </c>
      <c r="C18" s="13">
        <v>5042</v>
      </c>
      <c r="D18" s="13" t="s">
        <v>203</v>
      </c>
      <c r="E18" s="13" t="s">
        <v>76</v>
      </c>
      <c r="F18" s="13" t="s">
        <v>596</v>
      </c>
      <c r="G18" s="13" t="s">
        <v>81</v>
      </c>
      <c r="H18" s="318">
        <v>37850000</v>
      </c>
      <c r="I18" s="318">
        <v>37850000</v>
      </c>
      <c r="J18" s="11">
        <v>43643</v>
      </c>
      <c r="K18" s="11">
        <f t="shared" si="0"/>
        <v>43678</v>
      </c>
      <c r="L18" s="318">
        <v>37850000</v>
      </c>
      <c r="M18" s="11">
        <f t="shared" si="1"/>
        <v>43823</v>
      </c>
      <c r="N18" s="318">
        <v>0</v>
      </c>
      <c r="O18" s="318">
        <f t="shared" si="2"/>
        <v>37850000</v>
      </c>
      <c r="P18" s="11">
        <v>43788</v>
      </c>
      <c r="Q18" s="13" t="s">
        <v>344</v>
      </c>
      <c r="R18" s="476" t="s">
        <v>754</v>
      </c>
    </row>
    <row r="19" spans="1:18" s="477" customFormat="1">
      <c r="A19" s="477" t="s">
        <v>147</v>
      </c>
      <c r="B19" s="477" t="s">
        <v>147</v>
      </c>
      <c r="C19" s="477">
        <v>5044</v>
      </c>
      <c r="D19" s="477" t="s">
        <v>204</v>
      </c>
      <c r="E19" s="477" t="s">
        <v>76</v>
      </c>
      <c r="F19" s="477" t="s">
        <v>629</v>
      </c>
      <c r="G19" s="477" t="s">
        <v>80</v>
      </c>
      <c r="H19" s="475">
        <v>24000000</v>
      </c>
      <c r="I19" s="475">
        <v>24000000</v>
      </c>
      <c r="J19" s="487">
        <v>43644</v>
      </c>
      <c r="K19" s="487">
        <f t="shared" si="0"/>
        <v>43679</v>
      </c>
      <c r="L19" s="475">
        <v>24000000</v>
      </c>
      <c r="M19" s="487">
        <f t="shared" si="1"/>
        <v>43824</v>
      </c>
      <c r="N19" s="488">
        <f>23999435.25-5000000</f>
        <v>18999435.25</v>
      </c>
      <c r="O19" s="488">
        <f>L19-N19</f>
        <v>5000564.75</v>
      </c>
      <c r="P19" s="487">
        <v>43713</v>
      </c>
      <c r="Q19" s="477" t="s">
        <v>410</v>
      </c>
      <c r="R19" s="490" t="s">
        <v>755</v>
      </c>
    </row>
    <row r="20" spans="1:18">
      <c r="H20" s="318"/>
      <c r="I20" s="318"/>
      <c r="J20" s="11"/>
      <c r="K20" s="11"/>
      <c r="L20" s="318"/>
      <c r="M20" s="11"/>
      <c r="N20" s="318"/>
      <c r="O20" s="318"/>
      <c r="P20" s="11"/>
      <c r="R20" s="402"/>
    </row>
    <row r="21" spans="1:18">
      <c r="H21" s="318"/>
      <c r="I21" s="318"/>
      <c r="J21" s="11"/>
      <c r="K21" s="11"/>
      <c r="L21" s="318"/>
      <c r="M21" s="11"/>
      <c r="N21" s="318"/>
      <c r="O21" s="318"/>
      <c r="P21" s="11"/>
      <c r="R21" s="402"/>
    </row>
    <row r="22" spans="1:18">
      <c r="A22" s="43"/>
      <c r="B22" s="43"/>
      <c r="C22" s="43"/>
      <c r="D22" s="43"/>
      <c r="E22" s="1"/>
      <c r="F22" s="13" t="s">
        <v>19</v>
      </c>
      <c r="H22" s="280">
        <f>SUM(H7:H21)</f>
        <v>243160000</v>
      </c>
      <c r="I22" s="280">
        <f>SUM(I7:I21)</f>
        <v>243160000</v>
      </c>
      <c r="J22" s="10"/>
      <c r="K22" s="10"/>
      <c r="L22" s="280">
        <f>SUM(L7:L21)</f>
        <v>243160000</v>
      </c>
      <c r="M22" s="10"/>
      <c r="N22" s="280">
        <f t="shared" ref="N22:O22" si="3">SUM(N7:N21)</f>
        <v>118195968.05000001</v>
      </c>
      <c r="O22" s="280">
        <f t="shared" si="3"/>
        <v>124964031.94999999</v>
      </c>
    </row>
    <row r="23" spans="1:18" s="1" customFormat="1">
      <c r="A23" s="5"/>
      <c r="B23" s="5"/>
      <c r="C23" s="5"/>
      <c r="D23" s="91"/>
      <c r="F23" s="13"/>
      <c r="H23" s="78"/>
      <c r="J23" s="11"/>
      <c r="K23" s="11"/>
      <c r="L23" s="9"/>
      <c r="M23" s="6"/>
      <c r="Q23" s="13"/>
    </row>
    <row r="24" spans="1:18" s="1" customFormat="1">
      <c r="A24" s="5"/>
      <c r="B24" s="5"/>
      <c r="C24" s="5"/>
      <c r="E24" s="5"/>
      <c r="F24" s="13" t="s">
        <v>43</v>
      </c>
      <c r="G24" s="5"/>
      <c r="H24" s="34">
        <f>H22-I22</f>
        <v>0</v>
      </c>
      <c r="I24" s="9"/>
      <c r="K24" s="3"/>
      <c r="L24" s="9"/>
      <c r="M24" s="3"/>
      <c r="Q24" s="13"/>
    </row>
    <row r="25" spans="1:18" s="1" customFormat="1">
      <c r="A25" s="5"/>
      <c r="B25" s="5"/>
      <c r="C25" s="5"/>
      <c r="E25" s="5"/>
      <c r="G25" s="5"/>
      <c r="H25" s="69"/>
      <c r="I25" s="9"/>
      <c r="J25" s="3"/>
      <c r="K25" s="142"/>
      <c r="L25" s="9"/>
      <c r="M25" s="3"/>
      <c r="N25" s="78"/>
      <c r="Q25" s="13"/>
    </row>
    <row r="26" spans="1:18" s="1" customFormat="1">
      <c r="A26" s="5"/>
      <c r="B26" s="5"/>
      <c r="C26" s="5"/>
      <c r="E26" s="137"/>
      <c r="F26" s="59" t="s">
        <v>10</v>
      </c>
      <c r="G26" s="5"/>
      <c r="H26" s="400">
        <f>E1-I22+O22+G35</f>
        <v>70990335.949999988</v>
      </c>
      <c r="I26" s="325"/>
      <c r="J26" s="142"/>
      <c r="L26" s="3"/>
      <c r="M26" s="142"/>
      <c r="N26" s="404"/>
      <c r="O26" s="2"/>
      <c r="Q26" s="13"/>
    </row>
    <row r="27" spans="1:18">
      <c r="I27" s="341"/>
      <c r="L27" s="514"/>
      <c r="M27" s="11"/>
      <c r="N27" s="404"/>
      <c r="O27" s="2"/>
    </row>
    <row r="28" spans="1:18">
      <c r="H28" s="34"/>
      <c r="I28" s="132"/>
      <c r="J28" s="11"/>
      <c r="K28" s="61"/>
      <c r="L28" s="212"/>
      <c r="M28" s="513"/>
      <c r="N28" s="570"/>
      <c r="O28" s="514"/>
    </row>
    <row r="29" spans="1:18">
      <c r="F29" s="59"/>
      <c r="G29" s="279"/>
      <c r="I29" s="44"/>
      <c r="J29" s="50"/>
      <c r="K29" s="61"/>
      <c r="L29" s="11"/>
      <c r="M29" s="12"/>
      <c r="N29" s="525"/>
      <c r="O29" s="13"/>
    </row>
    <row r="30" spans="1:18">
      <c r="G30" s="10"/>
      <c r="H30" s="317"/>
      <c r="I30" s="170"/>
      <c r="M30" s="50"/>
      <c r="N30" s="513"/>
    </row>
    <row r="31" spans="1:18">
      <c r="G31" s="10"/>
      <c r="H31" s="317"/>
      <c r="I31" s="170"/>
      <c r="J31" s="12"/>
      <c r="M31" s="50"/>
    </row>
    <row r="32" spans="1:18">
      <c r="G32" s="10"/>
      <c r="H32" s="317"/>
      <c r="I32" s="170"/>
      <c r="M32" s="50"/>
    </row>
    <row r="33" spans="7:13">
      <c r="G33" s="10"/>
      <c r="H33" s="317"/>
      <c r="I33" s="170"/>
      <c r="M33" s="50"/>
    </row>
    <row r="34" spans="7:13">
      <c r="G34" s="319"/>
      <c r="H34" s="317"/>
      <c r="I34" s="170"/>
      <c r="M34" s="11"/>
    </row>
    <row r="35" spans="7:13">
      <c r="G35" s="330">
        <f>SUM(G30:G34)</f>
        <v>0</v>
      </c>
    </row>
  </sheetData>
  <autoFilter ref="A6:S15" xr:uid="{00000000-0001-0000-0500-000000000000}"/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V61"/>
  <sheetViews>
    <sheetView workbookViewId="0">
      <selection activeCell="H48" sqref="H48"/>
    </sheetView>
  </sheetViews>
  <sheetFormatPr defaultColWidth="9.125" defaultRowHeight="12"/>
  <cols>
    <col min="1" max="1" width="9" style="1" customWidth="1"/>
    <col min="2" max="2" width="6.625" style="1" bestFit="1" customWidth="1"/>
    <col min="3" max="3" width="10.125" style="1" customWidth="1"/>
    <col min="4" max="4" width="13.25" style="1" bestFit="1" customWidth="1"/>
    <col min="5" max="5" width="25.25" style="1" bestFit="1" customWidth="1"/>
    <col min="6" max="6" width="39.375" style="1" customWidth="1"/>
    <col min="7" max="7" width="11.625" style="1" customWidth="1"/>
    <col min="8" max="8" width="14.75" style="1" bestFit="1" customWidth="1"/>
    <col min="9" max="9" width="12.75" style="1" bestFit="1" customWidth="1"/>
    <col min="10" max="10" width="13.375" style="1" bestFit="1" customWidth="1"/>
    <col min="11" max="11" width="10.875" style="1" customWidth="1"/>
    <col min="12" max="12" width="12.875" style="1" customWidth="1"/>
    <col min="13" max="13" width="10.375" style="1" customWidth="1"/>
    <col min="14" max="14" width="14" style="1" customWidth="1"/>
    <col min="15" max="15" width="14" style="144" bestFit="1" customWidth="1"/>
    <col min="16" max="16" width="9.875" style="1" customWidth="1"/>
    <col min="17" max="17" width="9.125" style="1" bestFit="1" customWidth="1"/>
    <col min="18" max="18" width="39" style="1" bestFit="1" customWidth="1"/>
    <col min="19" max="19" width="17.75" style="1" bestFit="1" customWidth="1"/>
    <col min="20" max="16384" width="9.125" style="1"/>
  </cols>
  <sheetData>
    <row r="1" spans="1:22" s="17" customFormat="1" ht="11.4">
      <c r="A1" s="16" t="s">
        <v>12</v>
      </c>
      <c r="B1" s="322"/>
      <c r="C1" s="322"/>
      <c r="E1" s="449">
        <f>'REGION 1'!H16+'REGION 2'!H13+'REGION 3'!H30+'REGION 4'!H14+'REGION 5'!H14+'REGION 6'!H36+'REGION 7'!H30+'REGION 8'!H13+'REGION 9'!H19+'REGION 10'!H13+'REGION 11'!H15+'REGION 12'!H13+'REGION 13'!H14</f>
        <v>518154998.74000001</v>
      </c>
      <c r="F1" s="18"/>
      <c r="G1" s="18"/>
      <c r="H1" s="382"/>
      <c r="I1" s="383"/>
      <c r="J1" s="303"/>
      <c r="K1" s="303"/>
      <c r="L1" s="383"/>
      <c r="M1" s="303"/>
      <c r="N1" s="382"/>
      <c r="O1" s="382"/>
      <c r="P1" s="303"/>
      <c r="R1" s="304"/>
      <c r="S1" s="5"/>
      <c r="T1" s="5"/>
      <c r="U1" s="5"/>
      <c r="V1" s="5"/>
    </row>
    <row r="2" spans="1:22" s="5" customFormat="1" ht="11.4">
      <c r="A2" s="25" t="s">
        <v>168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5"/>
    </row>
    <row r="3" spans="1:22">
      <c r="A3" s="31"/>
      <c r="B3" s="5"/>
      <c r="C3" s="5"/>
      <c r="D3" s="5"/>
      <c r="E3" s="5"/>
      <c r="F3" s="5"/>
      <c r="G3" s="5"/>
      <c r="H3" s="46"/>
      <c r="I3" s="130"/>
      <c r="J3" s="6"/>
      <c r="K3" s="6"/>
      <c r="L3" s="224"/>
      <c r="M3" s="6"/>
      <c r="N3" s="55"/>
      <c r="O3" s="55"/>
      <c r="P3" s="6"/>
      <c r="R3" s="306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6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600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6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208</v>
      </c>
      <c r="D6" s="38"/>
      <c r="E6" s="33"/>
      <c r="F6" s="39"/>
      <c r="G6" s="39"/>
      <c r="H6" s="134"/>
      <c r="I6" s="56"/>
      <c r="J6" s="40"/>
      <c r="K6" s="40"/>
      <c r="L6" s="56"/>
      <c r="M6" s="40"/>
      <c r="N6" s="56"/>
      <c r="O6" s="56"/>
      <c r="P6" s="40"/>
      <c r="Q6" s="38"/>
      <c r="R6" s="466" t="s">
        <v>9</v>
      </c>
      <c r="S6" s="13"/>
      <c r="T6" s="13"/>
      <c r="U6" s="13"/>
      <c r="V6" s="13"/>
    </row>
    <row r="7" spans="1:22" s="13" customFormat="1" ht="13.5" customHeight="1">
      <c r="A7" s="13">
        <v>5</v>
      </c>
      <c r="B7" s="13">
        <v>6</v>
      </c>
      <c r="C7" s="13">
        <v>5016</v>
      </c>
      <c r="D7" s="13" t="s">
        <v>204</v>
      </c>
      <c r="E7" s="13" t="s">
        <v>141</v>
      </c>
      <c r="F7" s="36" t="s">
        <v>483</v>
      </c>
      <c r="G7" s="36" t="s">
        <v>484</v>
      </c>
      <c r="H7" s="318">
        <v>50000000</v>
      </c>
      <c r="I7" s="318">
        <f>H7</f>
        <v>50000000</v>
      </c>
      <c r="J7" s="11">
        <v>43530</v>
      </c>
      <c r="K7" s="11">
        <f>J7+35</f>
        <v>43565</v>
      </c>
      <c r="L7" s="318">
        <v>50000000</v>
      </c>
      <c r="M7" s="11">
        <f>J7+180</f>
        <v>43710</v>
      </c>
      <c r="N7" s="318">
        <v>50000000</v>
      </c>
      <c r="O7" s="318">
        <f>L7-N7</f>
        <v>0</v>
      </c>
      <c r="P7" s="11">
        <v>43692</v>
      </c>
      <c r="Q7" s="13" t="s">
        <v>253</v>
      </c>
      <c r="R7" s="532" t="s">
        <v>700</v>
      </c>
    </row>
    <row r="8" spans="1:22" s="13" customFormat="1" ht="13.5" customHeight="1">
      <c r="A8" s="13">
        <v>16</v>
      </c>
      <c r="B8" s="13">
        <v>27</v>
      </c>
      <c r="C8" s="13">
        <v>5017</v>
      </c>
      <c r="D8" s="13" t="s">
        <v>203</v>
      </c>
      <c r="E8" s="13" t="s">
        <v>419</v>
      </c>
      <c r="F8" s="36" t="s">
        <v>420</v>
      </c>
      <c r="G8" s="36" t="s">
        <v>150</v>
      </c>
      <c r="H8" s="440">
        <v>35000000</v>
      </c>
      <c r="I8" s="318">
        <f>H8</f>
        <v>35000000</v>
      </c>
      <c r="J8" s="11">
        <v>43530</v>
      </c>
      <c r="K8" s="11">
        <f>J8+35</f>
        <v>43565</v>
      </c>
      <c r="L8" s="318">
        <v>35000000</v>
      </c>
      <c r="M8" s="11">
        <f>J8+180</f>
        <v>43710</v>
      </c>
      <c r="N8" s="404">
        <v>0</v>
      </c>
      <c r="O8" s="318">
        <f>L8-N8</f>
        <v>35000000</v>
      </c>
      <c r="P8" s="11">
        <v>43635</v>
      </c>
      <c r="Q8" s="13">
        <v>1</v>
      </c>
      <c r="R8" s="532" t="s">
        <v>700</v>
      </c>
    </row>
    <row r="9" spans="1:22" s="5" customFormat="1" ht="13.5" customHeight="1">
      <c r="A9" s="13">
        <v>89</v>
      </c>
      <c r="B9" s="13">
        <v>32</v>
      </c>
      <c r="C9" s="13" t="s">
        <v>416</v>
      </c>
      <c r="D9" s="13" t="s">
        <v>748</v>
      </c>
      <c r="E9" s="13" t="s">
        <v>257</v>
      </c>
      <c r="F9" s="36" t="s">
        <v>417</v>
      </c>
      <c r="G9" s="36" t="s">
        <v>258</v>
      </c>
      <c r="H9" s="318">
        <v>0</v>
      </c>
      <c r="I9" s="318"/>
      <c r="J9" s="11"/>
      <c r="K9" s="11"/>
      <c r="L9" s="318"/>
      <c r="M9" s="11"/>
      <c r="N9" s="404"/>
      <c r="O9" s="318"/>
      <c r="P9" s="11"/>
      <c r="Q9" s="13" t="s">
        <v>344</v>
      </c>
      <c r="R9" s="1" t="s">
        <v>747</v>
      </c>
      <c r="S9" s="13"/>
    </row>
    <row r="10" spans="1:22" s="13" customFormat="1" ht="13.5" customHeight="1">
      <c r="A10" s="13">
        <v>27</v>
      </c>
      <c r="B10" s="13">
        <v>41</v>
      </c>
      <c r="C10" s="13">
        <v>5018</v>
      </c>
      <c r="D10" s="13" t="s">
        <v>204</v>
      </c>
      <c r="E10" s="13" t="s">
        <v>143</v>
      </c>
      <c r="F10" s="36" t="s">
        <v>486</v>
      </c>
      <c r="G10" s="36" t="s">
        <v>79</v>
      </c>
      <c r="H10" s="318">
        <v>50000000</v>
      </c>
      <c r="I10" s="318">
        <f>H10</f>
        <v>50000000</v>
      </c>
      <c r="J10" s="11">
        <v>43530</v>
      </c>
      <c r="K10" s="11">
        <f>J10+35</f>
        <v>43565</v>
      </c>
      <c r="L10" s="318">
        <v>50000000</v>
      </c>
      <c r="M10" s="11">
        <f>J10+180</f>
        <v>43710</v>
      </c>
      <c r="N10" s="404">
        <v>39999742.369999997</v>
      </c>
      <c r="O10" s="404">
        <f>L10-N10</f>
        <v>10000257.630000003</v>
      </c>
      <c r="P10" s="11">
        <v>43715</v>
      </c>
      <c r="Q10" s="13" t="s">
        <v>253</v>
      </c>
      <c r="R10" s="532" t="s">
        <v>700</v>
      </c>
      <c r="S10" s="338" t="s">
        <v>702</v>
      </c>
    </row>
    <row r="11" spans="1:22" s="13" customFormat="1" ht="13.5" customHeight="1">
      <c r="A11" s="13">
        <v>32</v>
      </c>
      <c r="B11" s="13">
        <v>47</v>
      </c>
      <c r="C11" s="13">
        <v>5019</v>
      </c>
      <c r="D11" s="13" t="s">
        <v>203</v>
      </c>
      <c r="E11" s="13" t="s">
        <v>413</v>
      </c>
      <c r="F11" s="36" t="s">
        <v>414</v>
      </c>
      <c r="G11" s="36" t="s">
        <v>255</v>
      </c>
      <c r="H11" s="318">
        <v>25000000</v>
      </c>
      <c r="I11" s="318">
        <f>H11</f>
        <v>25000000</v>
      </c>
      <c r="J11" s="11">
        <v>43531</v>
      </c>
      <c r="K11" s="11">
        <f>J11+35</f>
        <v>43566</v>
      </c>
      <c r="L11" s="318">
        <v>25000000</v>
      </c>
      <c r="M11" s="11">
        <f>J11+180</f>
        <v>43711</v>
      </c>
      <c r="N11" s="404">
        <v>0</v>
      </c>
      <c r="O11" s="318">
        <f>L11-N11</f>
        <v>25000000</v>
      </c>
      <c r="P11" s="11">
        <v>43680</v>
      </c>
      <c r="Q11" s="13" t="s">
        <v>252</v>
      </c>
      <c r="R11" s="532" t="s">
        <v>703</v>
      </c>
    </row>
    <row r="12" spans="1:22" s="13" customFormat="1" ht="13.5" customHeight="1">
      <c r="A12" s="13">
        <v>37</v>
      </c>
      <c r="B12" s="13">
        <v>52</v>
      </c>
      <c r="C12" s="13">
        <v>5020</v>
      </c>
      <c r="D12" s="13" t="s">
        <v>204</v>
      </c>
      <c r="E12" s="13" t="s">
        <v>425</v>
      </c>
      <c r="F12" s="36" t="s">
        <v>432</v>
      </c>
      <c r="G12" s="36" t="s">
        <v>78</v>
      </c>
      <c r="H12" s="318">
        <v>35000000</v>
      </c>
      <c r="I12" s="318">
        <f>H12</f>
        <v>35000000</v>
      </c>
      <c r="J12" s="11">
        <v>43531</v>
      </c>
      <c r="K12" s="11">
        <f>J12+35</f>
        <v>43566</v>
      </c>
      <c r="L12" s="318">
        <v>35000000</v>
      </c>
      <c r="M12" s="11">
        <f>J12+180</f>
        <v>43711</v>
      </c>
      <c r="N12" s="404">
        <f>34268000+731279.12</f>
        <v>34999279.119999997</v>
      </c>
      <c r="O12" s="404">
        <f>L12-N12</f>
        <v>720.88000000268221</v>
      </c>
      <c r="P12" s="11">
        <v>43713</v>
      </c>
      <c r="Q12" s="13" t="s">
        <v>252</v>
      </c>
      <c r="R12" s="532" t="s">
        <v>703</v>
      </c>
    </row>
    <row r="13" spans="1:22" s="13" customFormat="1" ht="13.5" customHeight="1">
      <c r="A13" s="13">
        <v>42</v>
      </c>
      <c r="B13" s="13">
        <v>56</v>
      </c>
      <c r="C13" s="13">
        <v>5021</v>
      </c>
      <c r="D13" s="13" t="s">
        <v>204</v>
      </c>
      <c r="E13" s="13" t="s">
        <v>97</v>
      </c>
      <c r="F13" s="36" t="s">
        <v>435</v>
      </c>
      <c r="G13" s="36" t="s">
        <v>95</v>
      </c>
      <c r="H13" s="318">
        <v>40000000</v>
      </c>
      <c r="I13" s="318">
        <f>H13</f>
        <v>40000000</v>
      </c>
      <c r="J13" s="11">
        <v>43531</v>
      </c>
      <c r="K13" s="11">
        <f>J13+35</f>
        <v>43566</v>
      </c>
      <c r="L13" s="318">
        <v>40000000</v>
      </c>
      <c r="M13" s="11">
        <f>J13+180</f>
        <v>43711</v>
      </c>
      <c r="N13" s="404">
        <f>39808000+191849.4-362000</f>
        <v>39637849.399999999</v>
      </c>
      <c r="O13" s="404">
        <f>L13-N13</f>
        <v>362150.60000000149</v>
      </c>
      <c r="P13" s="11">
        <v>43713</v>
      </c>
      <c r="Q13" s="13" t="s">
        <v>253</v>
      </c>
      <c r="R13" s="532" t="s">
        <v>704</v>
      </c>
      <c r="S13" s="338" t="s">
        <v>706</v>
      </c>
    </row>
    <row r="14" spans="1:22" s="13" customFormat="1" ht="13.5" customHeight="1">
      <c r="A14" s="13">
        <v>45</v>
      </c>
      <c r="B14" s="13">
        <v>60</v>
      </c>
      <c r="C14" s="13" t="s">
        <v>424</v>
      </c>
      <c r="D14" s="13" t="s">
        <v>203</v>
      </c>
      <c r="E14" s="13" t="s">
        <v>159</v>
      </c>
      <c r="F14" s="36" t="s">
        <v>436</v>
      </c>
      <c r="G14" s="36" t="s">
        <v>187</v>
      </c>
      <c r="H14" s="318">
        <v>0</v>
      </c>
      <c r="I14" s="318"/>
      <c r="J14" s="11"/>
      <c r="K14" s="11"/>
      <c r="L14" s="318"/>
      <c r="M14" s="11"/>
      <c r="N14" s="566"/>
      <c r="O14" s="424"/>
      <c r="P14" s="11"/>
      <c r="Q14" s="13" t="s">
        <v>253</v>
      </c>
      <c r="R14" s="1" t="s">
        <v>714</v>
      </c>
    </row>
    <row r="15" spans="1:22" s="5" customFormat="1" ht="13.5" customHeight="1">
      <c r="A15" s="13">
        <v>46</v>
      </c>
      <c r="B15" s="13">
        <v>61</v>
      </c>
      <c r="C15" s="13" t="s">
        <v>482</v>
      </c>
      <c r="D15" s="13" t="s">
        <v>203</v>
      </c>
      <c r="E15" s="13" t="s">
        <v>287</v>
      </c>
      <c r="F15" s="36" t="s">
        <v>288</v>
      </c>
      <c r="G15" s="36" t="s">
        <v>79</v>
      </c>
      <c r="H15" s="318">
        <v>0</v>
      </c>
      <c r="I15" s="318"/>
      <c r="J15" s="11"/>
      <c r="K15" s="11"/>
      <c r="L15" s="318"/>
      <c r="M15" s="11"/>
      <c r="N15" s="404"/>
      <c r="O15" s="355"/>
      <c r="P15" s="11"/>
      <c r="Q15" s="13" t="s">
        <v>253</v>
      </c>
      <c r="R15" s="1"/>
      <c r="S15" s="13"/>
    </row>
    <row r="16" spans="1:22" s="13" customFormat="1" ht="13.5" customHeight="1">
      <c r="A16" s="13">
        <v>47</v>
      </c>
      <c r="B16" s="13">
        <v>62</v>
      </c>
      <c r="C16" s="13">
        <v>5025</v>
      </c>
      <c r="D16" s="13" t="s">
        <v>204</v>
      </c>
      <c r="E16" s="13" t="s">
        <v>413</v>
      </c>
      <c r="F16" s="36" t="s">
        <v>415</v>
      </c>
      <c r="G16" s="36" t="s">
        <v>255</v>
      </c>
      <c r="H16" s="318">
        <v>29000000</v>
      </c>
      <c r="I16" s="318">
        <f>H16</f>
        <v>29000000</v>
      </c>
      <c r="J16" s="11">
        <v>43565</v>
      </c>
      <c r="K16" s="11">
        <f t="shared" ref="K16:K21" si="0">J16+35</f>
        <v>43600</v>
      </c>
      <c r="L16" s="318">
        <v>29000000</v>
      </c>
      <c r="M16" s="11">
        <f t="shared" ref="M16:M21" si="1">J16+180</f>
        <v>43745</v>
      </c>
      <c r="N16" s="318">
        <f>23656000+5344000</f>
        <v>29000000</v>
      </c>
      <c r="O16" s="318">
        <f t="shared" ref="O16:O21" si="2">L16-N16</f>
        <v>0</v>
      </c>
      <c r="P16" s="11">
        <v>43742</v>
      </c>
      <c r="Q16" s="13" t="s">
        <v>253</v>
      </c>
      <c r="R16" s="532" t="s">
        <v>719</v>
      </c>
    </row>
    <row r="17" spans="1:19" s="13" customFormat="1" ht="13.5" customHeight="1">
      <c r="A17" s="13">
        <v>48</v>
      </c>
      <c r="B17" s="13">
        <v>65</v>
      </c>
      <c r="C17" s="13">
        <v>5032</v>
      </c>
      <c r="D17" s="13" t="s">
        <v>204</v>
      </c>
      <c r="E17" s="13" t="s">
        <v>287</v>
      </c>
      <c r="F17" s="36" t="s">
        <v>334</v>
      </c>
      <c r="G17" s="36" t="s">
        <v>79</v>
      </c>
      <c r="H17" s="318">
        <v>60000000</v>
      </c>
      <c r="I17" s="318">
        <v>60000000</v>
      </c>
      <c r="J17" s="11">
        <v>43607</v>
      </c>
      <c r="K17" s="11">
        <f t="shared" si="0"/>
        <v>43642</v>
      </c>
      <c r="L17" s="318">
        <v>60000000</v>
      </c>
      <c r="M17" s="11">
        <f t="shared" si="1"/>
        <v>43787</v>
      </c>
      <c r="N17" s="404">
        <f>56875000-22000000-194.8</f>
        <v>34874805.200000003</v>
      </c>
      <c r="O17" s="404">
        <f t="shared" si="2"/>
        <v>25125194.799999997</v>
      </c>
      <c r="P17" s="11">
        <v>43788</v>
      </c>
      <c r="Q17" s="13" t="s">
        <v>410</v>
      </c>
      <c r="R17" s="532" t="s">
        <v>736</v>
      </c>
    </row>
    <row r="18" spans="1:19" s="13" customFormat="1" ht="13.5" customHeight="1">
      <c r="A18" s="13">
        <v>49</v>
      </c>
      <c r="B18" s="13">
        <v>66</v>
      </c>
      <c r="C18" s="13">
        <v>5043</v>
      </c>
      <c r="D18" s="13" t="s">
        <v>203</v>
      </c>
      <c r="E18" s="13" t="s">
        <v>97</v>
      </c>
      <c r="F18" s="36" t="s">
        <v>446</v>
      </c>
      <c r="G18" s="36" t="s">
        <v>95</v>
      </c>
      <c r="H18" s="318">
        <v>35000000</v>
      </c>
      <c r="I18" s="318">
        <v>35000000</v>
      </c>
      <c r="J18" s="11">
        <v>43643</v>
      </c>
      <c r="K18" s="11">
        <f t="shared" si="0"/>
        <v>43678</v>
      </c>
      <c r="L18" s="318">
        <v>35000000</v>
      </c>
      <c r="M18" s="11">
        <f t="shared" si="1"/>
        <v>43823</v>
      </c>
      <c r="N18" s="318">
        <v>0</v>
      </c>
      <c r="O18" s="318">
        <f t="shared" si="2"/>
        <v>35000000</v>
      </c>
      <c r="P18" s="11">
        <v>43798</v>
      </c>
      <c r="Q18" s="13" t="s">
        <v>410</v>
      </c>
      <c r="R18" s="532" t="s">
        <v>754</v>
      </c>
      <c r="S18" s="338"/>
    </row>
    <row r="19" spans="1:19" s="13" customFormat="1" ht="13.5" customHeight="1">
      <c r="A19" s="13">
        <v>56</v>
      </c>
      <c r="B19" s="13">
        <v>72</v>
      </c>
      <c r="C19" s="13">
        <v>5045</v>
      </c>
      <c r="D19" s="13" t="s">
        <v>203</v>
      </c>
      <c r="E19" s="13" t="s">
        <v>433</v>
      </c>
      <c r="F19" s="36" t="s">
        <v>447</v>
      </c>
      <c r="G19" s="36" t="s">
        <v>270</v>
      </c>
      <c r="H19" s="318">
        <v>37000000</v>
      </c>
      <c r="I19" s="318">
        <v>37000000</v>
      </c>
      <c r="J19" s="11">
        <v>43644</v>
      </c>
      <c r="K19" s="11">
        <f t="shared" si="0"/>
        <v>43679</v>
      </c>
      <c r="L19" s="318">
        <v>37000000</v>
      </c>
      <c r="M19" s="11">
        <f t="shared" si="1"/>
        <v>43824</v>
      </c>
      <c r="N19" s="318">
        <v>0</v>
      </c>
      <c r="O19" s="318">
        <f t="shared" si="2"/>
        <v>37000000</v>
      </c>
      <c r="P19" s="11">
        <v>43795</v>
      </c>
      <c r="Q19" s="13" t="s">
        <v>410</v>
      </c>
      <c r="R19" s="532" t="s">
        <v>757</v>
      </c>
    </row>
    <row r="20" spans="1:19" s="13" customFormat="1" ht="13.5" customHeight="1">
      <c r="A20" s="13">
        <v>58</v>
      </c>
      <c r="B20" s="13">
        <v>73</v>
      </c>
      <c r="C20" s="13">
        <v>5046</v>
      </c>
      <c r="D20" s="13" t="s">
        <v>204</v>
      </c>
      <c r="E20" s="13" t="s">
        <v>425</v>
      </c>
      <c r="F20" s="36" t="s">
        <v>448</v>
      </c>
      <c r="G20" s="36" t="s">
        <v>78</v>
      </c>
      <c r="H20" s="318">
        <v>25000000</v>
      </c>
      <c r="I20" s="318">
        <v>25000000</v>
      </c>
      <c r="J20" s="11">
        <v>43644</v>
      </c>
      <c r="K20" s="11">
        <f t="shared" si="0"/>
        <v>43679</v>
      </c>
      <c r="L20" s="318">
        <v>25000000</v>
      </c>
      <c r="M20" s="11">
        <f t="shared" si="1"/>
        <v>43824</v>
      </c>
      <c r="N20" s="318">
        <v>24998992</v>
      </c>
      <c r="O20" s="318">
        <f t="shared" si="2"/>
        <v>1008</v>
      </c>
      <c r="P20" s="11">
        <v>43820</v>
      </c>
      <c r="Q20" s="13" t="s">
        <v>410</v>
      </c>
      <c r="R20" s="532" t="s">
        <v>756</v>
      </c>
    </row>
    <row r="21" spans="1:19" s="13" customFormat="1" ht="13.5" customHeight="1">
      <c r="A21" s="13">
        <v>67</v>
      </c>
      <c r="B21" s="13">
        <v>80</v>
      </c>
      <c r="C21" s="13">
        <v>5049</v>
      </c>
      <c r="D21" s="13" t="s">
        <v>203</v>
      </c>
      <c r="E21" s="13" t="s">
        <v>141</v>
      </c>
      <c r="F21" s="36" t="s">
        <v>498</v>
      </c>
      <c r="G21" s="36" t="s">
        <v>499</v>
      </c>
      <c r="H21" s="318">
        <v>50000000</v>
      </c>
      <c r="I21" s="318">
        <v>50000000</v>
      </c>
      <c r="J21" s="11">
        <v>43652</v>
      </c>
      <c r="K21" s="11">
        <f t="shared" si="0"/>
        <v>43687</v>
      </c>
      <c r="L21" s="318">
        <v>50000000</v>
      </c>
      <c r="M21" s="11">
        <f t="shared" si="1"/>
        <v>43832</v>
      </c>
      <c r="N21" s="318">
        <v>0</v>
      </c>
      <c r="O21" s="318">
        <f t="shared" si="2"/>
        <v>50000000</v>
      </c>
      <c r="P21" s="11">
        <v>43805</v>
      </c>
      <c r="Q21" s="13" t="s">
        <v>410</v>
      </c>
      <c r="R21" s="532" t="s">
        <v>759</v>
      </c>
    </row>
    <row r="22" spans="1:19" s="13" customFormat="1" ht="13.5" customHeight="1">
      <c r="A22" s="13">
        <v>72</v>
      </c>
      <c r="B22" s="13">
        <v>83</v>
      </c>
      <c r="C22" s="13" t="s">
        <v>441</v>
      </c>
      <c r="D22" s="13" t="s">
        <v>203</v>
      </c>
      <c r="E22" s="13" t="s">
        <v>425</v>
      </c>
      <c r="F22" s="36" t="s">
        <v>390</v>
      </c>
      <c r="G22" s="36" t="s">
        <v>78</v>
      </c>
      <c r="H22" s="318">
        <v>0</v>
      </c>
      <c r="I22" s="318"/>
      <c r="J22" s="11"/>
      <c r="K22" s="11"/>
      <c r="L22" s="318"/>
      <c r="M22" s="11"/>
      <c r="N22" s="404"/>
      <c r="O22" s="355"/>
      <c r="P22" s="11"/>
      <c r="Q22" s="13" t="s">
        <v>410</v>
      </c>
      <c r="R22" s="1" t="s">
        <v>774</v>
      </c>
    </row>
    <row r="23" spans="1:19" s="13" customFormat="1" ht="13.5" customHeight="1">
      <c r="A23" s="13">
        <v>75</v>
      </c>
      <c r="B23" s="13">
        <v>85</v>
      </c>
      <c r="C23" s="13" t="s">
        <v>491</v>
      </c>
      <c r="D23" s="13" t="s">
        <v>203</v>
      </c>
      <c r="E23" s="13" t="s">
        <v>141</v>
      </c>
      <c r="F23" s="36" t="s">
        <v>281</v>
      </c>
      <c r="G23" s="36" t="s">
        <v>282</v>
      </c>
      <c r="H23" s="318">
        <v>0</v>
      </c>
      <c r="I23" s="318"/>
      <c r="J23" s="11"/>
      <c r="K23" s="11"/>
      <c r="L23" s="318"/>
      <c r="M23" s="11"/>
      <c r="N23" s="404"/>
      <c r="O23" s="355"/>
      <c r="P23" s="11"/>
      <c r="Q23" s="13" t="s">
        <v>410</v>
      </c>
      <c r="R23" s="1" t="s">
        <v>784</v>
      </c>
    </row>
    <row r="24" spans="1:19" s="13" customFormat="1" ht="13.5" customHeight="1">
      <c r="A24" s="13">
        <v>77</v>
      </c>
      <c r="B24" s="13">
        <v>86</v>
      </c>
      <c r="C24" s="13" t="s">
        <v>442</v>
      </c>
      <c r="D24" s="13" t="s">
        <v>203</v>
      </c>
      <c r="E24" s="13" t="s">
        <v>425</v>
      </c>
      <c r="F24" s="36" t="s">
        <v>389</v>
      </c>
      <c r="G24" s="36" t="s">
        <v>78</v>
      </c>
      <c r="H24" s="318">
        <v>0</v>
      </c>
      <c r="I24" s="318"/>
      <c r="J24" s="11"/>
      <c r="K24" s="11"/>
      <c r="L24" s="318"/>
      <c r="M24" s="11"/>
      <c r="N24" s="404"/>
      <c r="O24" s="420"/>
      <c r="P24" s="11"/>
      <c r="Q24" s="13" t="s">
        <v>410</v>
      </c>
      <c r="R24" s="1" t="s">
        <v>786</v>
      </c>
    </row>
    <row r="25" spans="1:19" s="13" customFormat="1" ht="13.2" customHeight="1">
      <c r="A25" s="13">
        <v>82</v>
      </c>
      <c r="B25" s="13">
        <v>90</v>
      </c>
      <c r="C25" s="13" t="s">
        <v>443</v>
      </c>
      <c r="D25" s="13" t="s">
        <v>203</v>
      </c>
      <c r="E25" s="13" t="s">
        <v>260</v>
      </c>
      <c r="F25" s="36" t="s">
        <v>450</v>
      </c>
      <c r="G25" s="36" t="s">
        <v>261</v>
      </c>
      <c r="H25" s="318">
        <v>0</v>
      </c>
      <c r="I25" s="318"/>
      <c r="J25" s="11"/>
      <c r="K25" s="11"/>
      <c r="L25" s="318"/>
      <c r="M25" s="11"/>
      <c r="N25" s="404"/>
      <c r="O25" s="355"/>
      <c r="P25" s="11"/>
      <c r="Q25" s="13" t="s">
        <v>410</v>
      </c>
      <c r="R25" s="1" t="s">
        <v>794</v>
      </c>
    </row>
    <row r="26" spans="1:19" s="477" customFormat="1" ht="13.2" customHeight="1">
      <c r="A26" s="477">
        <v>86</v>
      </c>
      <c r="B26" s="477">
        <v>94</v>
      </c>
      <c r="C26" s="477" t="s">
        <v>454</v>
      </c>
      <c r="D26" s="477" t="s">
        <v>203</v>
      </c>
      <c r="E26" s="477" t="s">
        <v>276</v>
      </c>
      <c r="F26" s="486" t="s">
        <v>470</v>
      </c>
      <c r="G26" s="486" t="s">
        <v>80</v>
      </c>
      <c r="H26" s="475">
        <v>0</v>
      </c>
      <c r="I26" s="475"/>
      <c r="J26" s="487"/>
      <c r="K26" s="487"/>
      <c r="L26" s="475"/>
      <c r="M26" s="487"/>
      <c r="N26" s="488"/>
      <c r="O26" s="489"/>
      <c r="P26" s="487"/>
      <c r="Q26" s="477" t="s">
        <v>410</v>
      </c>
      <c r="R26" s="533" t="s">
        <v>794</v>
      </c>
    </row>
    <row r="27" spans="1:19" s="534" customFormat="1" ht="13.5" customHeight="1">
      <c r="A27" s="534">
        <v>87</v>
      </c>
      <c r="B27" s="534">
        <v>95</v>
      </c>
      <c r="C27" s="534" t="s">
        <v>455</v>
      </c>
      <c r="D27" s="534" t="s">
        <v>43</v>
      </c>
      <c r="E27" s="534" t="s">
        <v>471</v>
      </c>
      <c r="F27" s="535" t="s">
        <v>472</v>
      </c>
      <c r="G27" s="535" t="s">
        <v>80</v>
      </c>
      <c r="H27" s="536">
        <v>0</v>
      </c>
      <c r="I27" s="536"/>
      <c r="J27" s="537"/>
      <c r="K27" s="537"/>
      <c r="L27" s="536"/>
      <c r="M27" s="537"/>
      <c r="N27" s="538"/>
      <c r="O27" s="539"/>
      <c r="P27" s="537"/>
      <c r="Q27" s="534" t="s">
        <v>410</v>
      </c>
      <c r="R27" s="540" t="s">
        <v>796</v>
      </c>
    </row>
    <row r="28" spans="1:19" s="534" customFormat="1" ht="13.2" customHeight="1">
      <c r="A28" s="534">
        <v>88</v>
      </c>
      <c r="B28" s="534">
        <v>96</v>
      </c>
      <c r="C28" s="534" t="s">
        <v>456</v>
      </c>
      <c r="D28" s="534" t="s">
        <v>43</v>
      </c>
      <c r="E28" s="534" t="s">
        <v>463</v>
      </c>
      <c r="F28" s="535" t="s">
        <v>473</v>
      </c>
      <c r="G28" s="535" t="s">
        <v>275</v>
      </c>
      <c r="H28" s="536">
        <v>0</v>
      </c>
      <c r="I28" s="536"/>
      <c r="J28" s="537"/>
      <c r="K28" s="537"/>
      <c r="L28" s="536"/>
      <c r="M28" s="537"/>
      <c r="N28" s="538"/>
      <c r="O28" s="539"/>
      <c r="P28" s="537"/>
      <c r="Q28" s="534" t="s">
        <v>410</v>
      </c>
      <c r="R28" s="540" t="s">
        <v>796</v>
      </c>
    </row>
    <row r="29" spans="1:19" s="534" customFormat="1" ht="13.5" customHeight="1">
      <c r="A29" s="534">
        <v>90</v>
      </c>
      <c r="B29" s="534">
        <v>97</v>
      </c>
      <c r="C29" s="534" t="s">
        <v>457</v>
      </c>
      <c r="D29" s="534" t="s">
        <v>43</v>
      </c>
      <c r="E29" s="534" t="s">
        <v>463</v>
      </c>
      <c r="F29" s="535" t="s">
        <v>474</v>
      </c>
      <c r="G29" s="535" t="s">
        <v>275</v>
      </c>
      <c r="H29" s="536">
        <v>0</v>
      </c>
      <c r="I29" s="536"/>
      <c r="J29" s="537"/>
      <c r="K29" s="537"/>
      <c r="L29" s="536"/>
      <c r="M29" s="537"/>
      <c r="N29" s="538"/>
      <c r="O29" s="539"/>
      <c r="P29" s="537"/>
      <c r="Q29" s="534" t="s">
        <v>410</v>
      </c>
      <c r="R29" s="541"/>
    </row>
    <row r="30" spans="1:19" s="534" customFormat="1" ht="13.5" customHeight="1">
      <c r="A30" s="534">
        <v>94</v>
      </c>
      <c r="B30" s="534">
        <v>101</v>
      </c>
      <c r="C30" s="534" t="s">
        <v>492</v>
      </c>
      <c r="D30" s="534" t="s">
        <v>43</v>
      </c>
      <c r="E30" s="534" t="s">
        <v>287</v>
      </c>
      <c r="F30" s="535" t="s">
        <v>500</v>
      </c>
      <c r="G30" s="535" t="s">
        <v>79</v>
      </c>
      <c r="H30" s="536">
        <v>0</v>
      </c>
      <c r="I30" s="536"/>
      <c r="J30" s="537"/>
      <c r="K30" s="537"/>
      <c r="L30" s="536"/>
      <c r="M30" s="537"/>
      <c r="N30" s="538"/>
      <c r="O30" s="539"/>
      <c r="P30" s="537"/>
      <c r="Q30" s="534" t="s">
        <v>410</v>
      </c>
      <c r="R30" s="541"/>
    </row>
    <row r="31" spans="1:19" s="534" customFormat="1" ht="13.5" customHeight="1">
      <c r="A31" s="534">
        <v>95</v>
      </c>
      <c r="B31" s="534">
        <v>102</v>
      </c>
      <c r="C31" s="534" t="s">
        <v>458</v>
      </c>
      <c r="D31" s="534" t="s">
        <v>43</v>
      </c>
      <c r="E31" s="534" t="s">
        <v>276</v>
      </c>
      <c r="F31" s="535" t="s">
        <v>475</v>
      </c>
      <c r="G31" s="535" t="s">
        <v>80</v>
      </c>
      <c r="H31" s="536">
        <v>0</v>
      </c>
      <c r="I31" s="536"/>
      <c r="J31" s="537"/>
      <c r="K31" s="537"/>
      <c r="L31" s="536"/>
      <c r="M31" s="537"/>
      <c r="N31" s="538"/>
      <c r="O31" s="539"/>
      <c r="P31" s="537"/>
      <c r="Q31" s="534" t="s">
        <v>410</v>
      </c>
      <c r="R31" s="541"/>
    </row>
    <row r="32" spans="1:19" s="534" customFormat="1" ht="13.5" customHeight="1">
      <c r="A32" s="534">
        <v>96</v>
      </c>
      <c r="B32" s="534">
        <v>103</v>
      </c>
      <c r="C32" s="534" t="s">
        <v>444</v>
      </c>
      <c r="D32" s="534" t="s">
        <v>43</v>
      </c>
      <c r="E32" s="534" t="s">
        <v>425</v>
      </c>
      <c r="F32" s="535" t="s">
        <v>451</v>
      </c>
      <c r="G32" s="535" t="s">
        <v>78</v>
      </c>
      <c r="H32" s="536">
        <v>0</v>
      </c>
      <c r="I32" s="536"/>
      <c r="J32" s="537"/>
      <c r="K32" s="537"/>
      <c r="L32" s="536"/>
      <c r="M32" s="537"/>
      <c r="N32" s="538"/>
      <c r="O32" s="539"/>
      <c r="P32" s="537"/>
      <c r="Q32" s="534" t="s">
        <v>410</v>
      </c>
      <c r="R32" s="541"/>
    </row>
    <row r="33" spans="1:18" s="534" customFormat="1" ht="13.5" customHeight="1">
      <c r="A33" s="534">
        <v>101</v>
      </c>
      <c r="B33" s="534">
        <v>106</v>
      </c>
      <c r="C33" s="534" t="s">
        <v>459</v>
      </c>
      <c r="D33" s="534" t="s">
        <v>43</v>
      </c>
      <c r="E33" s="534" t="s">
        <v>276</v>
      </c>
      <c r="F33" s="535" t="s">
        <v>476</v>
      </c>
      <c r="G33" s="535" t="s">
        <v>80</v>
      </c>
      <c r="H33" s="536">
        <v>0</v>
      </c>
      <c r="I33" s="536"/>
      <c r="J33" s="537"/>
      <c r="K33" s="537"/>
      <c r="L33" s="536"/>
      <c r="M33" s="537"/>
      <c r="N33" s="538"/>
      <c r="O33" s="539"/>
      <c r="P33" s="537"/>
      <c r="Q33" s="534" t="s">
        <v>410</v>
      </c>
      <c r="R33" s="541"/>
    </row>
    <row r="34" spans="1:18" s="534" customFormat="1" ht="13.5" customHeight="1">
      <c r="A34" s="534">
        <v>102</v>
      </c>
      <c r="B34" s="534">
        <v>107</v>
      </c>
      <c r="C34" s="534" t="s">
        <v>460</v>
      </c>
      <c r="D34" s="534" t="s">
        <v>43</v>
      </c>
      <c r="E34" s="534" t="s">
        <v>276</v>
      </c>
      <c r="F34" s="535" t="s">
        <v>279</v>
      </c>
      <c r="G34" s="535" t="s">
        <v>80</v>
      </c>
      <c r="H34" s="536">
        <v>0</v>
      </c>
      <c r="I34" s="536"/>
      <c r="J34" s="537"/>
      <c r="K34" s="537"/>
      <c r="L34" s="536"/>
      <c r="M34" s="537"/>
      <c r="N34" s="538"/>
      <c r="O34" s="539"/>
      <c r="P34" s="537"/>
      <c r="Q34" s="534" t="s">
        <v>410</v>
      </c>
      <c r="R34" s="541"/>
    </row>
    <row r="35" spans="1:18" s="534" customFormat="1" ht="13.5" customHeight="1">
      <c r="A35" s="534">
        <v>105</v>
      </c>
      <c r="B35" s="534">
        <v>109</v>
      </c>
      <c r="C35" s="534" t="s">
        <v>445</v>
      </c>
      <c r="D35" s="534" t="s">
        <v>43</v>
      </c>
      <c r="E35" s="534" t="s">
        <v>425</v>
      </c>
      <c r="F35" s="535" t="s">
        <v>452</v>
      </c>
      <c r="G35" s="535" t="s">
        <v>78</v>
      </c>
      <c r="H35" s="536">
        <v>0</v>
      </c>
      <c r="I35" s="536"/>
      <c r="J35" s="537"/>
      <c r="K35" s="537"/>
      <c r="L35" s="536"/>
      <c r="M35" s="537"/>
      <c r="N35" s="538"/>
      <c r="O35" s="539"/>
      <c r="P35" s="537"/>
      <c r="Q35" s="534" t="s">
        <v>410</v>
      </c>
      <c r="R35" s="541"/>
    </row>
    <row r="36" spans="1:18" s="534" customFormat="1" ht="13.5" customHeight="1">
      <c r="A36" s="534">
        <v>106</v>
      </c>
      <c r="B36" s="534">
        <v>111</v>
      </c>
      <c r="C36" s="534" t="s">
        <v>493</v>
      </c>
      <c r="D36" s="534" t="s">
        <v>43</v>
      </c>
      <c r="E36" s="534" t="s">
        <v>141</v>
      </c>
      <c r="F36" s="535" t="s">
        <v>501</v>
      </c>
      <c r="G36" s="535" t="s">
        <v>502</v>
      </c>
      <c r="H36" s="536">
        <v>0</v>
      </c>
      <c r="I36" s="536"/>
      <c r="J36" s="537"/>
      <c r="K36" s="537"/>
      <c r="L36" s="536"/>
      <c r="M36" s="537"/>
      <c r="N36" s="538"/>
      <c r="O36" s="539"/>
      <c r="P36" s="537"/>
      <c r="Q36" s="534" t="s">
        <v>410</v>
      </c>
      <c r="R36" s="541"/>
    </row>
    <row r="37" spans="1:18" s="534" customFormat="1" ht="13.5" customHeight="1">
      <c r="A37" s="534">
        <v>107</v>
      </c>
      <c r="B37" s="534">
        <v>112</v>
      </c>
      <c r="C37" s="534" t="s">
        <v>461</v>
      </c>
      <c r="D37" s="534" t="s">
        <v>43</v>
      </c>
      <c r="E37" s="534" t="s">
        <v>471</v>
      </c>
      <c r="F37" s="535" t="s">
        <v>477</v>
      </c>
      <c r="G37" s="535" t="s">
        <v>80</v>
      </c>
      <c r="H37" s="536">
        <v>0</v>
      </c>
      <c r="I37" s="536"/>
      <c r="J37" s="537"/>
      <c r="K37" s="537"/>
      <c r="L37" s="536"/>
      <c r="M37" s="537"/>
      <c r="N37" s="538"/>
      <c r="O37" s="539"/>
      <c r="P37" s="537"/>
      <c r="Q37" s="534" t="s">
        <v>410</v>
      </c>
      <c r="R37" s="541"/>
    </row>
    <row r="38" spans="1:18" s="534" customFormat="1" ht="13.5" customHeight="1">
      <c r="A38" s="534">
        <v>108</v>
      </c>
      <c r="B38" s="534">
        <v>113</v>
      </c>
      <c r="C38" s="534" t="s">
        <v>462</v>
      </c>
      <c r="D38" s="534" t="s">
        <v>43</v>
      </c>
      <c r="E38" s="534" t="s">
        <v>276</v>
      </c>
      <c r="F38" s="535" t="s">
        <v>478</v>
      </c>
      <c r="G38" s="535" t="s">
        <v>80</v>
      </c>
      <c r="H38" s="536">
        <v>0</v>
      </c>
      <c r="I38" s="536"/>
      <c r="J38" s="537"/>
      <c r="K38" s="537"/>
      <c r="L38" s="536"/>
      <c r="M38" s="537"/>
      <c r="N38" s="538"/>
      <c r="O38" s="539"/>
      <c r="P38" s="537"/>
      <c r="Q38" s="534" t="s">
        <v>410</v>
      </c>
      <c r="R38" s="541"/>
    </row>
    <row r="39" spans="1:18" s="534" customFormat="1" ht="13.5" customHeight="1">
      <c r="A39" s="534">
        <v>117</v>
      </c>
      <c r="B39" s="534">
        <v>120</v>
      </c>
      <c r="C39" s="534" t="s">
        <v>495</v>
      </c>
      <c r="D39" s="534" t="s">
        <v>43</v>
      </c>
      <c r="E39" s="534" t="s">
        <v>141</v>
      </c>
      <c r="F39" s="535" t="s">
        <v>503</v>
      </c>
      <c r="G39" s="535" t="s">
        <v>142</v>
      </c>
      <c r="H39" s="536">
        <v>0</v>
      </c>
      <c r="I39" s="536"/>
      <c r="J39" s="537"/>
      <c r="K39" s="537"/>
      <c r="L39" s="538"/>
      <c r="M39" s="537"/>
      <c r="N39" s="538"/>
      <c r="O39" s="539"/>
      <c r="P39" s="537"/>
      <c r="Q39" s="534" t="s">
        <v>410</v>
      </c>
      <c r="R39" s="541"/>
    </row>
    <row r="40" spans="1:18" s="534" customFormat="1" ht="13.5" customHeight="1">
      <c r="A40" s="534" t="s">
        <v>147</v>
      </c>
      <c r="B40" s="534" t="s">
        <v>147</v>
      </c>
      <c r="C40" s="534" t="s">
        <v>752</v>
      </c>
      <c r="D40" s="534" t="s">
        <v>43</v>
      </c>
      <c r="E40" s="534" t="s">
        <v>257</v>
      </c>
      <c r="F40" s="535" t="s">
        <v>259</v>
      </c>
      <c r="G40" s="535" t="s">
        <v>258</v>
      </c>
      <c r="H40" s="536">
        <v>0</v>
      </c>
      <c r="I40" s="536"/>
      <c r="J40" s="537"/>
      <c r="K40" s="537"/>
      <c r="L40" s="538"/>
      <c r="M40" s="537"/>
      <c r="N40" s="538"/>
      <c r="O40" s="539"/>
      <c r="P40" s="537"/>
      <c r="Q40" s="534" t="s">
        <v>344</v>
      </c>
      <c r="R40" s="541"/>
    </row>
    <row r="41" spans="1:18" s="534" customFormat="1" ht="13.5" customHeight="1">
      <c r="A41" s="534" t="s">
        <v>147</v>
      </c>
      <c r="B41" s="534" t="s">
        <v>147</v>
      </c>
      <c r="C41" s="534" t="s">
        <v>753</v>
      </c>
      <c r="D41" s="534" t="s">
        <v>43</v>
      </c>
      <c r="E41" s="534" t="s">
        <v>276</v>
      </c>
      <c r="F41" s="535" t="s">
        <v>469</v>
      </c>
      <c r="G41" s="535" t="s">
        <v>80</v>
      </c>
      <c r="H41" s="536">
        <v>0</v>
      </c>
      <c r="I41" s="536"/>
      <c r="J41" s="537"/>
      <c r="K41" s="537"/>
      <c r="L41" s="538"/>
      <c r="M41" s="537"/>
      <c r="N41" s="538"/>
      <c r="O41" s="539"/>
      <c r="P41" s="537"/>
      <c r="Q41" s="534" t="s">
        <v>410</v>
      </c>
      <c r="R41" s="541"/>
    </row>
    <row r="42" spans="1:18" s="534" customFormat="1" ht="13.5" customHeight="1">
      <c r="A42" s="534" t="s">
        <v>147</v>
      </c>
      <c r="B42" s="534" t="s">
        <v>147</v>
      </c>
      <c r="C42" s="534" t="s">
        <v>769</v>
      </c>
      <c r="D42" s="534" t="s">
        <v>43</v>
      </c>
      <c r="E42" s="534" t="s">
        <v>200</v>
      </c>
      <c r="F42" s="535" t="s">
        <v>771</v>
      </c>
      <c r="G42" s="535" t="s">
        <v>201</v>
      </c>
      <c r="H42" s="536">
        <v>0</v>
      </c>
      <c r="I42" s="536"/>
      <c r="J42" s="537"/>
      <c r="K42" s="537"/>
      <c r="L42" s="538"/>
      <c r="M42" s="537"/>
      <c r="N42" s="538"/>
      <c r="O42" s="539"/>
      <c r="P42" s="537"/>
      <c r="Q42" s="534" t="s">
        <v>252</v>
      </c>
      <c r="R42" s="541"/>
    </row>
    <row r="43" spans="1:18" s="534" customFormat="1" ht="13.5" customHeight="1">
      <c r="A43" s="534" t="s">
        <v>147</v>
      </c>
      <c r="B43" s="534" t="s">
        <v>147</v>
      </c>
      <c r="C43" s="534" t="s">
        <v>770</v>
      </c>
      <c r="D43" s="534" t="s">
        <v>43</v>
      </c>
      <c r="E43" s="534" t="s">
        <v>200</v>
      </c>
      <c r="F43" s="535" t="s">
        <v>772</v>
      </c>
      <c r="G43" s="535" t="s">
        <v>201</v>
      </c>
      <c r="H43" s="536">
        <v>0</v>
      </c>
      <c r="I43" s="536"/>
      <c r="J43" s="537"/>
      <c r="K43" s="537"/>
      <c r="L43" s="538"/>
      <c r="M43" s="537"/>
      <c r="N43" s="538"/>
      <c r="O43" s="539"/>
      <c r="P43" s="537"/>
      <c r="Q43" s="534" t="s">
        <v>252</v>
      </c>
      <c r="R43" s="541"/>
    </row>
    <row r="44" spans="1:18">
      <c r="A44" s="43"/>
      <c r="B44" s="43"/>
      <c r="C44" s="43"/>
      <c r="D44" s="43"/>
      <c r="F44" s="13" t="s">
        <v>19</v>
      </c>
      <c r="G44" s="13"/>
      <c r="H44" s="280">
        <f>SUM(H7:H43)</f>
        <v>471000000</v>
      </c>
      <c r="I44" s="280">
        <f>SUM(I7:I41)</f>
        <v>471000000</v>
      </c>
      <c r="J44" s="10"/>
      <c r="K44" s="10"/>
      <c r="L44" s="280">
        <f>SUM(L7:L41)</f>
        <v>471000000</v>
      </c>
      <c r="M44" s="10"/>
      <c r="N44" s="280">
        <f>SUM(N7:N41)</f>
        <v>253510668.09000003</v>
      </c>
      <c r="O44" s="280">
        <f>SUM(O7:O41)</f>
        <v>217489331.90999997</v>
      </c>
      <c r="P44" s="13"/>
      <c r="Q44" s="13"/>
    </row>
    <row r="45" spans="1:18">
      <c r="A45" s="5"/>
      <c r="B45" s="5"/>
      <c r="C45" s="5"/>
      <c r="D45" s="91"/>
      <c r="F45" s="13"/>
      <c r="H45" s="78"/>
      <c r="J45" s="11"/>
      <c r="K45" s="11"/>
      <c r="L45" s="9"/>
      <c r="M45" s="6"/>
      <c r="O45" s="1"/>
      <c r="Q45" s="13"/>
    </row>
    <row r="46" spans="1:18">
      <c r="A46" s="5"/>
      <c r="B46" s="5"/>
      <c r="C46" s="5"/>
      <c r="E46" s="5"/>
      <c r="F46" s="13" t="s">
        <v>43</v>
      </c>
      <c r="G46" s="5"/>
      <c r="H46" s="34">
        <f>H44-I44</f>
        <v>0</v>
      </c>
      <c r="I46" s="9"/>
      <c r="J46" s="173"/>
      <c r="L46" s="9"/>
      <c r="O46" s="1"/>
      <c r="Q46" s="13"/>
    </row>
    <row r="47" spans="1:18">
      <c r="A47" s="5"/>
      <c r="B47" s="5"/>
      <c r="C47" s="5"/>
      <c r="E47" s="5"/>
      <c r="G47" s="5"/>
      <c r="H47" s="69"/>
      <c r="I47" s="9"/>
      <c r="J47" s="173"/>
      <c r="K47" s="142"/>
      <c r="L47" s="9"/>
      <c r="M47" s="3"/>
      <c r="N47" s="78"/>
      <c r="O47" s="1"/>
      <c r="Q47" s="13"/>
    </row>
    <row r="48" spans="1:18">
      <c r="A48" s="5"/>
      <c r="B48" s="5"/>
      <c r="C48" s="5"/>
      <c r="E48" s="137"/>
      <c r="F48" s="59" t="s">
        <v>10</v>
      </c>
      <c r="G48" s="5"/>
      <c r="H48" s="400">
        <f>+E1-I44+O44+G53</f>
        <v>264644330.64999998</v>
      </c>
      <c r="I48" s="325"/>
      <c r="J48" s="3"/>
      <c r="K48" s="3"/>
      <c r="L48" s="9"/>
      <c r="M48" s="3"/>
      <c r="O48" s="1"/>
      <c r="Q48" s="13"/>
    </row>
    <row r="49" spans="1:17">
      <c r="H49" s="65"/>
      <c r="J49" s="3"/>
      <c r="K49" s="3"/>
      <c r="L49" s="156"/>
    </row>
    <row r="50" spans="1:17">
      <c r="E50" s="213"/>
      <c r="F50" s="13"/>
      <c r="G50" s="178"/>
      <c r="H50" s="2"/>
      <c r="I50" s="326"/>
      <c r="J50" s="3"/>
      <c r="K50" s="3"/>
      <c r="L50" s="85"/>
    </row>
    <row r="51" spans="1:17">
      <c r="C51" s="13"/>
      <c r="D51" s="13"/>
      <c r="E51" s="13"/>
      <c r="F51" s="13"/>
      <c r="G51" s="323"/>
      <c r="H51" s="174"/>
      <c r="I51" s="217"/>
      <c r="J51" s="3"/>
      <c r="K51" s="3"/>
    </row>
    <row r="52" spans="1:17">
      <c r="C52" s="43"/>
      <c r="D52" s="43"/>
      <c r="E52" s="152"/>
      <c r="F52" s="13"/>
      <c r="G52" s="493"/>
      <c r="H52" s="223"/>
      <c r="I52" s="217"/>
      <c r="L52" s="515"/>
    </row>
    <row r="53" spans="1:17">
      <c r="G53" s="491">
        <f>SUM(G52:G52)</f>
        <v>0</v>
      </c>
      <c r="H53" s="174"/>
      <c r="I53" s="217"/>
      <c r="L53" s="515"/>
    </row>
    <row r="54" spans="1:17">
      <c r="F54" s="213"/>
      <c r="G54" s="2"/>
      <c r="H54" s="4"/>
      <c r="I54" s="174"/>
      <c r="L54" s="569"/>
    </row>
    <row r="55" spans="1:17">
      <c r="A55" s="43"/>
      <c r="B55" s="43"/>
      <c r="G55" s="43"/>
      <c r="H55" s="302"/>
      <c r="I55" s="302"/>
      <c r="J55" s="11"/>
      <c r="K55" s="11"/>
      <c r="L55" s="569"/>
      <c r="M55" s="11"/>
      <c r="N55" s="68"/>
      <c r="O55" s="68"/>
      <c r="P55" s="11"/>
      <c r="Q55" s="13"/>
    </row>
    <row r="56" spans="1:17">
      <c r="L56" s="567"/>
    </row>
    <row r="57" spans="1:17">
      <c r="L57" s="568"/>
    </row>
    <row r="58" spans="1:17">
      <c r="C58" s="43"/>
      <c r="D58" s="43"/>
      <c r="E58" s="152"/>
      <c r="L58" s="568"/>
    </row>
    <row r="59" spans="1:17">
      <c r="L59" s="568"/>
    </row>
    <row r="61" spans="1:17">
      <c r="L61" s="568"/>
    </row>
  </sheetData>
  <autoFilter ref="A6:S39" xr:uid="{00000000-0001-0000-0600-000000000000}">
    <sortState xmlns:xlrd2="http://schemas.microsoft.com/office/spreadsheetml/2017/richdata2" ref="A7:S44">
      <sortCondition ref="B6:B39"/>
    </sortState>
  </autoFilter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Totals</vt:lpstr>
      <vt:lpstr>2023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2020 CF</vt:lpstr>
      <vt:lpstr>2021 CF</vt:lpstr>
      <vt:lpstr>2022 CF</vt:lpstr>
      <vt:lpstr>Bond Buyer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2024-01-17T20:10:42Z</dcterms:modified>
</cp:coreProperties>
</file>