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ate1904="1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api.box.com/wopi/files/1913616332821/WOPIServiceId_TP_BOX_2/WOPIUserId_-/"/>
    </mc:Choice>
  </mc:AlternateContent>
  <xr:revisionPtr revIDLastSave="2188" documentId="13_ncr:1_{8C7A796B-1059-4489-A811-88376F7C7A67}" xr6:coauthVersionLast="47" xr6:coauthVersionMax="47" xr10:uidLastSave="{D9782084-12A9-48DD-8ACC-E640C25DEAA6}"/>
  <bookViews>
    <workbookView xWindow="30" yWindow="-16320" windowWidth="29040" windowHeight="15720" tabRatio="941" xr2:uid="{00000000-000D-0000-FFFF-FFFF00000000}"/>
  </bookViews>
  <sheets>
    <sheet name="Totals" sheetId="5" r:id="rId1"/>
    <sheet name="2025 CF" sheetId="106" r:id="rId2"/>
    <sheet name="Aug 15" sheetId="103" state="hidden" r:id="rId3"/>
    <sheet name="SC1 MRB" sheetId="14" r:id="rId4"/>
    <sheet name="SC2 State Voted" sheetId="4" r:id="rId5"/>
    <sheet name="SC3 Small Issue IDBs" sheetId="6" r:id="rId6"/>
    <sheet name="SC4 TSAHC" sheetId="30" r:id="rId7"/>
    <sheet name="SC4 MF- TDHCA" sheetId="7" r:id="rId8"/>
    <sheet name="SC4 MF- Local Collapse" sheetId="86" r:id="rId9"/>
    <sheet name="REGION 1" sheetId="74" r:id="rId10"/>
    <sheet name="REGION 2" sheetId="73" r:id="rId11"/>
    <sheet name="REGION 3" sheetId="12" r:id="rId12"/>
    <sheet name="REGION 4" sheetId="75" r:id="rId13"/>
    <sheet name="REGION 5" sheetId="44" r:id="rId14"/>
    <sheet name="REGION 6" sheetId="18" r:id="rId15"/>
    <sheet name="REGION 7" sheetId="19" r:id="rId16"/>
    <sheet name="REGION 8" sheetId="78" r:id="rId17"/>
    <sheet name="REGION 9" sheetId="21" r:id="rId18"/>
    <sheet name="REGION 10" sheetId="22" r:id="rId19"/>
    <sheet name="REGION 11" sheetId="77" r:id="rId20"/>
    <sheet name="REGION 12" sheetId="76" r:id="rId21"/>
    <sheet name="REGION 13" sheetId="27" r:id="rId22"/>
    <sheet name="SC5 OTHER" sheetId="24" r:id="rId23"/>
    <sheet name="2022 CF" sheetId="102" r:id="rId24"/>
    <sheet name="2023 CF" sheetId="105" r:id="rId25"/>
    <sheet name="2024 CF" sheetId="104" r:id="rId26"/>
    <sheet name="Bond Buyer" sheetId="93" r:id="rId27"/>
  </sheets>
  <definedNames>
    <definedName name="_xlnm._FilterDatabase" localSheetId="2" hidden="1">'Aug 15'!$A$6:$T$6</definedName>
    <definedName name="_xlnm._FilterDatabase" localSheetId="8" hidden="1">'SC4 MF- Local Collapse'!$A$6:$S$6</definedName>
    <definedName name="_xlnm._FilterDatabase" localSheetId="7" hidden="1">'SC4 MF- TDHCA'!$A$6:$S$6</definedName>
    <definedName name="_xlnm._FilterDatabase" localSheetId="22" hidden="1">'SC5 OTHER'!$A$6:$S$74</definedName>
    <definedName name="_Hlk75159162" localSheetId="14">'REGION 6'!$E$7</definedName>
    <definedName name="_xlnm.Print_Area" localSheetId="9">'REGION 1'!$A$1:$P$14</definedName>
    <definedName name="_xlnm.Print_Area" localSheetId="10">'REGION 2'!$A$1:$P$13</definedName>
    <definedName name="_xlnm.Print_Area" localSheetId="11">'REGION 3'!$A$1:$P$31</definedName>
    <definedName name="_xlnm.Print_Area" localSheetId="14">'REGION 6'!$A$1:$P$29</definedName>
    <definedName name="_xlnm.Print_Area" localSheetId="3">'SC1 MRB'!$A$1:$R$29</definedName>
    <definedName name="_xlnm.Print_Area" localSheetId="4">'SC2 State Voted'!$A$1:$P$25</definedName>
    <definedName name="_xlnm.Print_Area" localSheetId="5">'SC3 Small Issue IDBs'!$A$1:$P$28</definedName>
    <definedName name="_xlnm.Print_Area" localSheetId="7">'SC4 MF- TDHCA'!$A$1:$P$19</definedName>
    <definedName name="_xlnm.Print_Area" localSheetId="22">'SC5 OTHER'!$A$1:$P$103</definedName>
    <definedName name="_xlnm.Print_Area" localSheetId="0">Totals!$A$1:$I$30</definedName>
    <definedName name="_xlnm.Print_Titles" localSheetId="4">'SC2 State Voted'!$1:$7</definedName>
    <definedName name="_xlnm.Print_Titles" localSheetId="5">'SC3 Small Issue IDBs'!$1:$6</definedName>
    <definedName name="_xlnm.Print_Titles" localSheetId="7">'SC4 MF- TDHCA'!$1:$6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16" i="24" l="1"/>
  <c r="M16" i="24"/>
  <c r="M91" i="24"/>
  <c r="K91" i="24"/>
  <c r="I91" i="24"/>
  <c r="M90" i="24"/>
  <c r="K90" i="24"/>
  <c r="I90" i="24"/>
  <c r="M10" i="86"/>
  <c r="O10" i="86"/>
  <c r="M84" i="24"/>
  <c r="M33" i="86"/>
  <c r="K34" i="86"/>
  <c r="M34" i="86"/>
  <c r="K33" i="86"/>
  <c r="I34" i="86"/>
  <c r="I33" i="86"/>
  <c r="M11" i="24"/>
  <c r="O11" i="24"/>
  <c r="L78" i="104"/>
  <c r="L76" i="104"/>
  <c r="M9" i="86"/>
  <c r="M22" i="19" l="1"/>
  <c r="O22" i="19"/>
  <c r="M19" i="24"/>
  <c r="O19" i="24"/>
  <c r="O77" i="24"/>
  <c r="M77" i="24"/>
  <c r="M7" i="44"/>
  <c r="O7" i="44"/>
  <c r="H97" i="24"/>
  <c r="O15" i="24"/>
  <c r="M15" i="24"/>
  <c r="M30" i="86"/>
  <c r="M31" i="86"/>
  <c r="M32" i="86"/>
  <c r="K30" i="86"/>
  <c r="K31" i="86"/>
  <c r="K32" i="86"/>
  <c r="I31" i="86"/>
  <c r="I32" i="86"/>
  <c r="I30" i="86"/>
  <c r="O11" i="86"/>
  <c r="M11" i="86"/>
  <c r="M10" i="18"/>
  <c r="O10" i="18"/>
  <c r="M12" i="18"/>
  <c r="O12" i="18"/>
  <c r="K89" i="24"/>
  <c r="M89" i="24"/>
  <c r="Q10" i="14"/>
  <c r="O7" i="4"/>
  <c r="M26" i="24"/>
  <c r="O26" i="24"/>
  <c r="M29" i="86"/>
  <c r="K29" i="86"/>
  <c r="I29" i="86"/>
  <c r="M13" i="12"/>
  <c r="O13" i="12"/>
  <c r="M73" i="24"/>
  <c r="O8" i="30"/>
  <c r="M8" i="30"/>
  <c r="M27" i="86"/>
  <c r="K27" i="86"/>
  <c r="I27" i="86"/>
  <c r="G64" i="86"/>
  <c r="L81" i="104"/>
  <c r="O32" i="24"/>
  <c r="M9" i="19"/>
  <c r="M48" i="24"/>
  <c r="O7" i="21"/>
  <c r="O9" i="19"/>
  <c r="M46" i="105"/>
  <c r="O76" i="24" l="1"/>
  <c r="O9" i="24"/>
  <c r="M88" i="24"/>
  <c r="K88" i="24"/>
  <c r="T35" i="105"/>
  <c r="H54" i="86"/>
  <c r="M10" i="24"/>
  <c r="O10" i="24"/>
  <c r="K85" i="24"/>
  <c r="M85" i="24"/>
  <c r="K84" i="24"/>
  <c r="I85" i="24"/>
  <c r="I84" i="24"/>
  <c r="O84" i="24" s="1"/>
  <c r="M82" i="24"/>
  <c r="K83" i="24"/>
  <c r="M83" i="24"/>
  <c r="K82" i="24"/>
  <c r="I83" i="24"/>
  <c r="I82" i="24"/>
  <c r="O82" i="24" s="1"/>
  <c r="M23" i="24"/>
  <c r="O24" i="24"/>
  <c r="O12" i="24"/>
  <c r="M12" i="24"/>
  <c r="M68" i="24"/>
  <c r="L24" i="105" l="1"/>
  <c r="M10" i="7"/>
  <c r="G27" i="7"/>
  <c r="K10" i="7"/>
  <c r="I10" i="7"/>
  <c r="M42" i="24"/>
  <c r="M80" i="24"/>
  <c r="K81" i="24"/>
  <c r="M81" i="24"/>
  <c r="I81" i="24"/>
  <c r="K80" i="24"/>
  <c r="I80" i="24"/>
  <c r="M78" i="24"/>
  <c r="K78" i="24"/>
  <c r="I78" i="24"/>
  <c r="G23" i="7"/>
  <c r="L72" i="104"/>
  <c r="M9" i="7"/>
  <c r="K9" i="7"/>
  <c r="I9" i="7"/>
  <c r="G112" i="24"/>
  <c r="M87" i="24"/>
  <c r="K87" i="24"/>
  <c r="I87" i="24"/>
  <c r="M86" i="24"/>
  <c r="K86" i="24"/>
  <c r="I86" i="24"/>
  <c r="M74" i="24"/>
  <c r="K74" i="24"/>
  <c r="I74" i="24"/>
  <c r="M76" i="24"/>
  <c r="K73" i="24"/>
  <c r="I73" i="24"/>
  <c r="O73" i="24" s="1"/>
  <c r="M72" i="24"/>
  <c r="K72" i="24"/>
  <c r="I72" i="24"/>
  <c r="M44" i="24"/>
  <c r="O44" i="24"/>
  <c r="K97" i="104"/>
  <c r="M28" i="24"/>
  <c r="O28" i="24"/>
  <c r="G99" i="104"/>
  <c r="K96" i="104"/>
  <c r="K69" i="24"/>
  <c r="M69" i="24"/>
  <c r="I69" i="24"/>
  <c r="O69" i="24" s="1"/>
  <c r="L95" i="104"/>
  <c r="M67" i="24"/>
  <c r="K68" i="24"/>
  <c r="K67" i="24"/>
  <c r="I68" i="24"/>
  <c r="O68" i="24" s="1"/>
  <c r="I67" i="24"/>
  <c r="M66" i="24"/>
  <c r="M64" i="24"/>
  <c r="M63" i="24"/>
  <c r="K66" i="24"/>
  <c r="K64" i="24"/>
  <c r="K63" i="24"/>
  <c r="I66" i="24"/>
  <c r="O66" i="24" s="1"/>
  <c r="I64" i="24"/>
  <c r="O64" i="24" s="1"/>
  <c r="I63" i="24"/>
  <c r="O63" i="24" s="1"/>
  <c r="M20" i="86"/>
  <c r="M75" i="24"/>
  <c r="O75" i="24"/>
  <c r="O14" i="24"/>
  <c r="O31" i="24"/>
  <c r="M25" i="24"/>
  <c r="M31" i="24"/>
  <c r="O25" i="24"/>
  <c r="K95" i="104"/>
  <c r="M62" i="24"/>
  <c r="K62" i="24"/>
  <c r="I62" i="24"/>
  <c r="O62" i="24" s="1"/>
  <c r="M60" i="24"/>
  <c r="K60" i="24"/>
  <c r="I60" i="24"/>
  <c r="O60" i="24" s="1"/>
  <c r="M57" i="24"/>
  <c r="K57" i="24"/>
  <c r="I57" i="24"/>
  <c r="M17" i="24"/>
  <c r="O17" i="24"/>
  <c r="M52" i="24"/>
  <c r="L75" i="104"/>
  <c r="K55" i="24"/>
  <c r="M55" i="24"/>
  <c r="I55" i="24"/>
  <c r="M71" i="24"/>
  <c r="K71" i="24"/>
  <c r="I71" i="24"/>
  <c r="O71" i="24" s="1"/>
  <c r="G21" i="14"/>
  <c r="O10" i="14"/>
  <c r="M10" i="14"/>
  <c r="J10" i="14"/>
  <c r="K10" i="14" s="1"/>
  <c r="Q9" i="14"/>
  <c r="O7" i="24"/>
  <c r="M44" i="86"/>
  <c r="K44" i="86"/>
  <c r="I44" i="86"/>
  <c r="O44" i="86" s="1"/>
  <c r="M51" i="24"/>
  <c r="M42" i="86"/>
  <c r="K42" i="86"/>
  <c r="I42" i="86"/>
  <c r="M54" i="24"/>
  <c r="K54" i="24"/>
  <c r="K52" i="24"/>
  <c r="K51" i="24"/>
  <c r="I54" i="24"/>
  <c r="O54" i="24" s="1"/>
  <c r="I52" i="24"/>
  <c r="O52" i="24" s="1"/>
  <c r="I51" i="24"/>
  <c r="O51" i="24" s="1"/>
  <c r="O37" i="24"/>
  <c r="O23" i="24"/>
  <c r="M23" i="86"/>
  <c r="M50" i="24"/>
  <c r="K50" i="24"/>
  <c r="M25" i="86"/>
  <c r="K25" i="86"/>
  <c r="I25" i="86"/>
  <c r="K23" i="86"/>
  <c r="I23" i="86"/>
  <c r="I50" i="24"/>
  <c r="M7" i="18"/>
  <c r="O7" i="18"/>
  <c r="M13" i="19"/>
  <c r="O13" i="19"/>
  <c r="O13" i="24" l="1"/>
  <c r="M11" i="19"/>
  <c r="O11" i="19"/>
  <c r="K20" i="86" l="1"/>
  <c r="I20" i="86"/>
  <c r="O20" i="86" s="1"/>
  <c r="K48" i="24" l="1"/>
  <c r="I48" i="24"/>
  <c r="O48" i="24" s="1"/>
  <c r="M49" i="24"/>
  <c r="K49" i="24"/>
  <c r="I49" i="24"/>
  <c r="O49" i="24" s="1"/>
  <c r="M47" i="24"/>
  <c r="K47" i="24"/>
  <c r="I47" i="24"/>
  <c r="O47" i="24" s="1"/>
  <c r="M13" i="86"/>
  <c r="K13" i="86"/>
  <c r="K11" i="86"/>
  <c r="I11" i="86"/>
  <c r="M7" i="86"/>
  <c r="K8" i="86"/>
  <c r="M8" i="86"/>
  <c r="K9" i="86"/>
  <c r="K10" i="86"/>
  <c r="K7" i="86"/>
  <c r="I8" i="86"/>
  <c r="I9" i="86"/>
  <c r="L9" i="86" s="1"/>
  <c r="O9" i="86" s="1"/>
  <c r="I10" i="86"/>
  <c r="I7" i="86"/>
  <c r="I54" i="86" l="1"/>
  <c r="H56" i="86" s="1"/>
  <c r="O7" i="86"/>
  <c r="O9" i="14"/>
  <c r="M9" i="14"/>
  <c r="J9" i="14"/>
  <c r="M7" i="7"/>
  <c r="M7" i="77"/>
  <c r="K7" i="77"/>
  <c r="I7" i="77"/>
  <c r="G34" i="19"/>
  <c r="K13" i="19"/>
  <c r="I13" i="19"/>
  <c r="M8" i="7"/>
  <c r="K8" i="7"/>
  <c r="I8" i="7"/>
  <c r="O8" i="7" s="1"/>
  <c r="K7" i="7"/>
  <c r="I7" i="7"/>
  <c r="K89" i="104"/>
  <c r="K87" i="104" l="1"/>
  <c r="E29" i="5"/>
  <c r="M26" i="104"/>
  <c r="M25" i="104"/>
  <c r="M24" i="104"/>
  <c r="M22" i="104"/>
  <c r="M19" i="104"/>
  <c r="M18" i="104"/>
  <c r="M17" i="104"/>
  <c r="M16" i="104"/>
  <c r="M15" i="104"/>
  <c r="M14" i="104"/>
  <c r="M12" i="104"/>
  <c r="M11" i="104"/>
  <c r="M7" i="104"/>
  <c r="M6" i="104"/>
  <c r="F27" i="5"/>
  <c r="H25" i="5"/>
  <c r="M14" i="18"/>
  <c r="J88" i="104"/>
  <c r="K88" i="104"/>
  <c r="M46" i="24"/>
  <c r="K46" i="24"/>
  <c r="K44" i="24"/>
  <c r="I46" i="24"/>
  <c r="O46" i="24" s="1"/>
  <c r="I44" i="24"/>
  <c r="K15" i="18"/>
  <c r="M15" i="18"/>
  <c r="I15" i="18" l="1"/>
  <c r="K14" i="18"/>
  <c r="I14" i="18"/>
  <c r="G34" i="18"/>
  <c r="M79" i="24"/>
  <c r="K79" i="24"/>
  <c r="K75" i="104"/>
  <c r="K76" i="104"/>
  <c r="K78" i="104"/>
  <c r="I8" i="30"/>
  <c r="I10" i="30"/>
  <c r="K8" i="30"/>
  <c r="M16" i="12"/>
  <c r="M7" i="21"/>
  <c r="K7" i="21"/>
  <c r="I7" i="21"/>
  <c r="K16" i="12"/>
  <c r="I16" i="12"/>
  <c r="M24" i="12"/>
  <c r="K24" i="12"/>
  <c r="I24" i="12"/>
  <c r="J26" i="104"/>
  <c r="J25" i="104"/>
  <c r="H28" i="12"/>
  <c r="K11" i="19"/>
  <c r="I11" i="19"/>
  <c r="K22" i="19"/>
  <c r="I22" i="19"/>
  <c r="K77" i="24"/>
  <c r="I77" i="24"/>
  <c r="K42" i="24"/>
  <c r="I42" i="24"/>
  <c r="O42" i="24" s="1"/>
  <c r="B4" i="93"/>
  <c r="K72" i="104"/>
  <c r="M76" i="104"/>
  <c r="G25" i="104"/>
  <c r="M41" i="24"/>
  <c r="K41" i="24"/>
  <c r="I41" i="24"/>
  <c r="O41" i="24" s="1"/>
  <c r="M39" i="24"/>
  <c r="K39" i="24"/>
  <c r="I39" i="24"/>
  <c r="M38" i="24"/>
  <c r="K38" i="24"/>
  <c r="I38" i="24"/>
  <c r="O38" i="24" s="1"/>
  <c r="M37" i="24"/>
  <c r="K37" i="24"/>
  <c r="I37" i="24"/>
  <c r="K12" i="18"/>
  <c r="K11" i="18"/>
  <c r="M11" i="18"/>
  <c r="K13" i="12"/>
  <c r="I13" i="12"/>
  <c r="J17" i="104"/>
  <c r="J22" i="104"/>
  <c r="J19" i="104"/>
  <c r="J15" i="104"/>
  <c r="J12" i="104"/>
  <c r="J11" i="104"/>
  <c r="J14" i="104"/>
  <c r="J16" i="104"/>
  <c r="M11" i="12" l="1"/>
  <c r="M32" i="24"/>
  <c r="K32" i="24"/>
  <c r="I32" i="24"/>
  <c r="K31" i="24"/>
  <c r="I31" i="24"/>
  <c r="M30" i="24"/>
  <c r="K30" i="24"/>
  <c r="I30" i="24"/>
  <c r="O30" i="24" s="1"/>
  <c r="O97" i="24" s="1"/>
  <c r="K28" i="24"/>
  <c r="I28" i="24"/>
  <c r="K27" i="24"/>
  <c r="M27" i="24"/>
  <c r="I27" i="24"/>
  <c r="K26" i="24"/>
  <c r="K10" i="18"/>
  <c r="I10" i="18"/>
  <c r="K11" i="12"/>
  <c r="M10" i="12"/>
  <c r="K23" i="24"/>
  <c r="K24" i="24"/>
  <c r="M24" i="24"/>
  <c r="K25" i="24"/>
  <c r="M22" i="24"/>
  <c r="K22" i="24"/>
  <c r="I23" i="24"/>
  <c r="I24" i="24"/>
  <c r="I25" i="24"/>
  <c r="I22" i="24"/>
  <c r="K9" i="19"/>
  <c r="I9" i="19"/>
  <c r="M9" i="18"/>
  <c r="K9" i="18"/>
  <c r="I9" i="18"/>
  <c r="K10" i="12"/>
  <c r="I10" i="12"/>
  <c r="M8" i="18" l="1"/>
  <c r="K76" i="24"/>
  <c r="I76" i="24"/>
  <c r="K20" i="24"/>
  <c r="M20" i="24"/>
  <c r="I20" i="24"/>
  <c r="K19" i="24"/>
  <c r="I19" i="24"/>
  <c r="K17" i="24"/>
  <c r="I17" i="24"/>
  <c r="K16" i="24"/>
  <c r="I16" i="24"/>
  <c r="K15" i="24"/>
  <c r="I15" i="24"/>
  <c r="M8" i="19"/>
  <c r="K8" i="19"/>
  <c r="I8" i="19"/>
  <c r="K8" i="18"/>
  <c r="I8" i="18"/>
  <c r="M7" i="12"/>
  <c r="K75" i="24"/>
  <c r="I75" i="24"/>
  <c r="M14" i="24"/>
  <c r="I14" i="24"/>
  <c r="K14" i="24"/>
  <c r="I11" i="24"/>
  <c r="K11" i="24"/>
  <c r="I12" i="24"/>
  <c r="K12" i="24"/>
  <c r="I13" i="24"/>
  <c r="K13" i="24"/>
  <c r="M13" i="24"/>
  <c r="K10" i="24"/>
  <c r="I10" i="24"/>
  <c r="M7" i="19"/>
  <c r="K7" i="19"/>
  <c r="I7" i="19"/>
  <c r="K7" i="44"/>
  <c r="K7" i="12"/>
  <c r="G11" i="104"/>
  <c r="G12" i="104"/>
  <c r="G13" i="104"/>
  <c r="G14" i="104"/>
  <c r="G15" i="104"/>
  <c r="G16" i="104"/>
  <c r="G17" i="104"/>
  <c r="G18" i="104"/>
  <c r="G19" i="104"/>
  <c r="G22" i="104"/>
  <c r="G23" i="104"/>
  <c r="G24" i="104"/>
  <c r="I97" i="24" l="1"/>
  <c r="K7" i="18"/>
  <c r="I7" i="18"/>
  <c r="K102" i="104" l="1"/>
  <c r="M7" i="24"/>
  <c r="M9" i="24"/>
  <c r="K9" i="24"/>
  <c r="K7" i="24"/>
  <c r="M7" i="30"/>
  <c r="M7" i="4"/>
  <c r="K7" i="4"/>
  <c r="K7" i="30"/>
  <c r="B35" i="5" l="1"/>
  <c r="B34" i="5"/>
  <c r="C25" i="5"/>
  <c r="B5" i="93"/>
  <c r="B3" i="93"/>
  <c r="T67" i="104"/>
  <c r="L67" i="104"/>
  <c r="J67" i="104"/>
  <c r="J99" i="104"/>
  <c r="L99" i="104"/>
  <c r="L104" i="104"/>
  <c r="J104" i="104"/>
  <c r="M102" i="104"/>
  <c r="M104" i="104" s="1"/>
  <c r="I102" i="104"/>
  <c r="G102" i="104"/>
  <c r="M97" i="104"/>
  <c r="I97" i="104"/>
  <c r="G97" i="104"/>
  <c r="M96" i="104"/>
  <c r="I96" i="104"/>
  <c r="M95" i="104"/>
  <c r="T95" i="104" s="1"/>
  <c r="I95" i="104"/>
  <c r="M94" i="104"/>
  <c r="T94" i="104" s="1"/>
  <c r="I94" i="104"/>
  <c r="M93" i="104"/>
  <c r="T93" i="104" s="1"/>
  <c r="I93" i="104"/>
  <c r="G93" i="104"/>
  <c r="M92" i="104"/>
  <c r="T92" i="104" s="1"/>
  <c r="I92" i="104"/>
  <c r="G92" i="104"/>
  <c r="M91" i="104"/>
  <c r="T91" i="104" s="1"/>
  <c r="I91" i="104"/>
  <c r="G91" i="104"/>
  <c r="M90" i="104"/>
  <c r="T90" i="104" s="1"/>
  <c r="I90" i="104"/>
  <c r="G90" i="104"/>
  <c r="M89" i="104"/>
  <c r="T89" i="104" s="1"/>
  <c r="I89" i="104"/>
  <c r="G89" i="104"/>
  <c r="M88" i="104"/>
  <c r="T88" i="104" s="1"/>
  <c r="I88" i="104"/>
  <c r="G88" i="104"/>
  <c r="M87" i="104"/>
  <c r="I87" i="104"/>
  <c r="T86" i="104"/>
  <c r="M86" i="104"/>
  <c r="I86" i="104"/>
  <c r="G86" i="104"/>
  <c r="M85" i="104"/>
  <c r="T85" i="104" s="1"/>
  <c r="I85" i="104"/>
  <c r="M84" i="104"/>
  <c r="T84" i="104" s="1"/>
  <c r="I84" i="104"/>
  <c r="M83" i="104"/>
  <c r="T83" i="104" s="1"/>
  <c r="I83" i="104"/>
  <c r="M82" i="104"/>
  <c r="T82" i="104" s="1"/>
  <c r="I82" i="104"/>
  <c r="M81" i="104"/>
  <c r="T81" i="104" s="1"/>
  <c r="I81" i="104"/>
  <c r="M80" i="104"/>
  <c r="T80" i="104" s="1"/>
  <c r="I80" i="104"/>
  <c r="M79" i="104"/>
  <c r="T79" i="104" s="1"/>
  <c r="I79" i="104"/>
  <c r="M78" i="104"/>
  <c r="T78" i="104" s="1"/>
  <c r="I78" i="104"/>
  <c r="G78" i="104"/>
  <c r="M77" i="104"/>
  <c r="T77" i="104" s="1"/>
  <c r="I77" i="104"/>
  <c r="G77" i="104"/>
  <c r="I76" i="104"/>
  <c r="G76" i="104"/>
  <c r="J76" i="104" s="1"/>
  <c r="M75" i="104"/>
  <c r="T75" i="104" s="1"/>
  <c r="I75" i="104"/>
  <c r="M74" i="104"/>
  <c r="T74" i="104" s="1"/>
  <c r="I74" i="104"/>
  <c r="M73" i="104"/>
  <c r="T73" i="104" s="1"/>
  <c r="K73" i="104"/>
  <c r="I73" i="104"/>
  <c r="M72" i="104"/>
  <c r="I72" i="104"/>
  <c r="M71" i="104"/>
  <c r="I71" i="104"/>
  <c r="M70" i="104"/>
  <c r="I70" i="104"/>
  <c r="M65" i="104"/>
  <c r="K65" i="104"/>
  <c r="I65" i="104"/>
  <c r="M64" i="104"/>
  <c r="T64" i="104" s="1"/>
  <c r="I64" i="104"/>
  <c r="G64" i="104"/>
  <c r="M63" i="104"/>
  <c r="T63" i="104" s="1"/>
  <c r="I63" i="104"/>
  <c r="G63" i="104"/>
  <c r="T62" i="104"/>
  <c r="M62" i="104"/>
  <c r="I62" i="104"/>
  <c r="G62" i="104"/>
  <c r="M61" i="104"/>
  <c r="T61" i="104" s="1"/>
  <c r="I61" i="104"/>
  <c r="G61" i="104"/>
  <c r="M60" i="104"/>
  <c r="T60" i="104" s="1"/>
  <c r="I60" i="104"/>
  <c r="G60" i="104"/>
  <c r="M59" i="104"/>
  <c r="T59" i="104" s="1"/>
  <c r="I59" i="104"/>
  <c r="G59" i="104"/>
  <c r="J58" i="104"/>
  <c r="M58" i="104" s="1"/>
  <c r="T58" i="104" s="1"/>
  <c r="I58" i="104"/>
  <c r="G58" i="104"/>
  <c r="M57" i="104"/>
  <c r="T57" i="104" s="1"/>
  <c r="I57" i="104"/>
  <c r="G57" i="104"/>
  <c r="M56" i="104"/>
  <c r="T56" i="104" s="1"/>
  <c r="I56" i="104"/>
  <c r="G56" i="104"/>
  <c r="T55" i="104"/>
  <c r="M55" i="104"/>
  <c r="I55" i="104"/>
  <c r="G55" i="104"/>
  <c r="M54" i="104"/>
  <c r="T54" i="104" s="1"/>
  <c r="I54" i="104"/>
  <c r="G54" i="104"/>
  <c r="M53" i="104"/>
  <c r="T53" i="104" s="1"/>
  <c r="I53" i="104"/>
  <c r="G53" i="104"/>
  <c r="M52" i="104"/>
  <c r="T52" i="104" s="1"/>
  <c r="I52" i="104"/>
  <c r="G52" i="104"/>
  <c r="M51" i="104"/>
  <c r="T51" i="104" s="1"/>
  <c r="I51" i="104"/>
  <c r="G51" i="104"/>
  <c r="M50" i="104"/>
  <c r="T50" i="104" s="1"/>
  <c r="I50" i="104"/>
  <c r="G50" i="104"/>
  <c r="T49" i="104"/>
  <c r="M49" i="104"/>
  <c r="I49" i="104"/>
  <c r="G49" i="104"/>
  <c r="M48" i="104"/>
  <c r="T48" i="104" s="1"/>
  <c r="I48" i="104"/>
  <c r="G48" i="104"/>
  <c r="M28" i="104"/>
  <c r="L28" i="104"/>
  <c r="J28" i="104"/>
  <c r="F28" i="104"/>
  <c r="J35" i="102"/>
  <c r="J43" i="105"/>
  <c r="M41" i="105"/>
  <c r="M40" i="105"/>
  <c r="T40" i="105" s="1"/>
  <c r="M39" i="105"/>
  <c r="T39" i="105" s="1"/>
  <c r="M38" i="105"/>
  <c r="T38" i="105" s="1"/>
  <c r="M37" i="105"/>
  <c r="T37" i="105" s="1"/>
  <c r="M36" i="105"/>
  <c r="T36" i="105" s="1"/>
  <c r="M35" i="105"/>
  <c r="J32" i="105"/>
  <c r="M30" i="105"/>
  <c r="T30" i="105" s="1"/>
  <c r="M29" i="105"/>
  <c r="T29" i="105" s="1"/>
  <c r="M28" i="105"/>
  <c r="T28" i="105" s="1"/>
  <c r="M27" i="105"/>
  <c r="T27" i="105" s="1"/>
  <c r="M26" i="105"/>
  <c r="T26" i="105" s="1"/>
  <c r="M25" i="105"/>
  <c r="T25" i="105" s="1"/>
  <c r="M24" i="105"/>
  <c r="T24" i="105" s="1"/>
  <c r="L16" i="105"/>
  <c r="F16" i="105"/>
  <c r="J14" i="105"/>
  <c r="M14" i="105" s="1"/>
  <c r="T14" i="105" s="1"/>
  <c r="M13" i="105"/>
  <c r="G13" i="105"/>
  <c r="M12" i="105"/>
  <c r="T12" i="105" s="1"/>
  <c r="G12" i="105"/>
  <c r="G11" i="105"/>
  <c r="J11" i="105" s="1"/>
  <c r="M10" i="105"/>
  <c r="T10" i="105" s="1"/>
  <c r="G10" i="105"/>
  <c r="M7" i="105"/>
  <c r="T7" i="105" s="1"/>
  <c r="G7" i="105"/>
  <c r="M6" i="105"/>
  <c r="G26" i="5" s="1"/>
  <c r="G6" i="105"/>
  <c r="T19" i="102"/>
  <c r="J32" i="102"/>
  <c r="L32" i="102"/>
  <c r="J27" i="102"/>
  <c r="M25" i="102"/>
  <c r="T25" i="102" s="1"/>
  <c r="M24" i="102"/>
  <c r="T24" i="102" s="1"/>
  <c r="M23" i="102"/>
  <c r="T23" i="102" s="1"/>
  <c r="J19" i="102"/>
  <c r="L19" i="102"/>
  <c r="L8" i="102"/>
  <c r="F8" i="102"/>
  <c r="G6" i="102"/>
  <c r="G8" i="102" s="1"/>
  <c r="H25" i="18"/>
  <c r="I25" i="5" l="1"/>
  <c r="B25" i="5" s="1"/>
  <c r="T13" i="105"/>
  <c r="I26" i="5"/>
  <c r="T102" i="104"/>
  <c r="T104" i="104" s="1"/>
  <c r="I27" i="5"/>
  <c r="T41" i="105"/>
  <c r="H26" i="5"/>
  <c r="T72" i="104"/>
  <c r="G27" i="5"/>
  <c r="T87" i="104"/>
  <c r="H27" i="5"/>
  <c r="T70" i="104"/>
  <c r="T76" i="104"/>
  <c r="T71" i="104"/>
  <c r="M67" i="104"/>
  <c r="C27" i="5" s="1"/>
  <c r="L43" i="105"/>
  <c r="T43" i="105"/>
  <c r="L32" i="105"/>
  <c r="G16" i="105"/>
  <c r="M11" i="105"/>
  <c r="J16" i="105"/>
  <c r="J46" i="105" s="1"/>
  <c r="T6" i="105"/>
  <c r="J6" i="102"/>
  <c r="J8" i="102" s="1"/>
  <c r="L27" i="102"/>
  <c r="T27" i="102"/>
  <c r="T35" i="102" s="1"/>
  <c r="M19" i="102"/>
  <c r="M27" i="102"/>
  <c r="M35" i="102" s="1"/>
  <c r="B27" i="93" s="1"/>
  <c r="M30" i="102"/>
  <c r="E8" i="5"/>
  <c r="H8" i="5"/>
  <c r="E1" i="18" s="1"/>
  <c r="C8" i="5"/>
  <c r="B8" i="5"/>
  <c r="H13" i="14"/>
  <c r="B27" i="5" l="1"/>
  <c r="T99" i="104"/>
  <c r="M99" i="104"/>
  <c r="M107" i="104" s="1"/>
  <c r="T11" i="105"/>
  <c r="T16" i="105" s="1"/>
  <c r="M43" i="105"/>
  <c r="T32" i="105"/>
  <c r="M32" i="105"/>
  <c r="C26" i="5" s="1"/>
  <c r="B26" i="5" s="1"/>
  <c r="M16" i="105"/>
  <c r="M6" i="102"/>
  <c r="M8" i="102" s="1"/>
  <c r="M32" i="102"/>
  <c r="T30" i="102"/>
  <c r="T32" i="102" s="1"/>
  <c r="E1" i="74"/>
  <c r="T44" i="106"/>
  <c r="L44" i="106"/>
  <c r="J44" i="106"/>
  <c r="M44" i="106"/>
  <c r="T40" i="106"/>
  <c r="L40" i="106"/>
  <c r="T36" i="106"/>
  <c r="L36" i="106"/>
  <c r="M15" i="106"/>
  <c r="L15" i="106"/>
  <c r="J15" i="106"/>
  <c r="G15" i="106"/>
  <c r="F15" i="106"/>
  <c r="B50" i="93" l="1"/>
  <c r="T46" i="105"/>
  <c r="T6" i="102"/>
  <c r="T8" i="102" s="1"/>
  <c r="M40" i="106"/>
  <c r="M36" i="106"/>
  <c r="T47" i="106"/>
  <c r="J36" i="106"/>
  <c r="J40" i="106"/>
  <c r="J47" i="106" l="1"/>
  <c r="G24" i="103" l="1"/>
  <c r="O54" i="86" l="1"/>
  <c r="N54" i="86"/>
  <c r="L54" i="86"/>
  <c r="H26" i="19"/>
  <c r="I28" i="12" l="1"/>
  <c r="E1" i="73" l="1"/>
  <c r="E1" i="44"/>
  <c r="Q13" i="14"/>
  <c r="H17" i="14" s="1"/>
  <c r="D5" i="93" l="1"/>
  <c r="N97" i="24" l="1"/>
  <c r="L97" i="24"/>
  <c r="O9" i="22"/>
  <c r="N9" i="22"/>
  <c r="L9" i="22"/>
  <c r="I9" i="22"/>
  <c r="H9" i="22"/>
  <c r="H11" i="21"/>
  <c r="O26" i="19"/>
  <c r="N26" i="19"/>
  <c r="L26" i="19"/>
  <c r="I26" i="19"/>
  <c r="H9" i="75"/>
  <c r="O28" i="12"/>
  <c r="N28" i="12"/>
  <c r="L28" i="12"/>
  <c r="O9" i="73"/>
  <c r="N9" i="73"/>
  <c r="L9" i="73"/>
  <c r="I9" i="73"/>
  <c r="H9" i="73"/>
  <c r="O10" i="4"/>
  <c r="N10" i="4"/>
  <c r="L10" i="4"/>
  <c r="I10" i="4"/>
  <c r="H10" i="4"/>
  <c r="P13" i="14"/>
  <c r="N13" i="14"/>
  <c r="K13" i="14"/>
  <c r="J13" i="14"/>
  <c r="H10" i="30"/>
  <c r="I8" i="5" l="1"/>
  <c r="P11" i="103" l="1"/>
  <c r="N11" i="103"/>
  <c r="H11" i="103"/>
  <c r="J11" i="103" l="1"/>
  <c r="Q11" i="103"/>
  <c r="K11" i="103"/>
  <c r="H13" i="103" l="1"/>
  <c r="N12" i="7" l="1"/>
  <c r="L12" i="7"/>
  <c r="I12" i="7"/>
  <c r="H12" i="7"/>
  <c r="O12" i="7" l="1"/>
  <c r="G38" i="12" l="1"/>
  <c r="G18" i="30" l="1"/>
  <c r="G17" i="78" l="1"/>
  <c r="G19" i="74"/>
  <c r="H10" i="74"/>
  <c r="G18" i="6"/>
  <c r="G18" i="4"/>
  <c r="G16" i="22" l="1"/>
  <c r="H11" i="22" l="1"/>
  <c r="H14" i="7" l="1"/>
  <c r="G18" i="21" l="1"/>
  <c r="O10" i="74" l="1"/>
  <c r="N10" i="74"/>
  <c r="L10" i="74"/>
  <c r="I10" i="74"/>
  <c r="H12" i="74" s="1"/>
  <c r="F8" i="5" l="1"/>
  <c r="H30" i="12" l="1"/>
  <c r="E1" i="77"/>
  <c r="E1" i="12"/>
  <c r="H32" i="12" s="1"/>
  <c r="E1" i="19"/>
  <c r="E1" i="27"/>
  <c r="E1" i="75"/>
  <c r="E1" i="22"/>
  <c r="H13" i="22" s="1"/>
  <c r="E1" i="21"/>
  <c r="E1" i="76"/>
  <c r="E1" i="78"/>
  <c r="N10" i="30" l="1"/>
  <c r="J18" i="5" l="1"/>
  <c r="J16" i="5"/>
  <c r="J14" i="5"/>
  <c r="J10" i="5"/>
  <c r="L10" i="30" l="1"/>
  <c r="H12" i="30" l="1"/>
  <c r="J12" i="5"/>
  <c r="J20" i="5"/>
  <c r="H15" i="14" l="1"/>
  <c r="O10" i="44" l="1"/>
  <c r="N10" i="44"/>
  <c r="L10" i="44"/>
  <c r="O10" i="30"/>
  <c r="O10" i="27" l="1"/>
  <c r="N10" i="27"/>
  <c r="L10" i="27"/>
  <c r="I10" i="27"/>
  <c r="H10" i="27"/>
  <c r="O10" i="77"/>
  <c r="N10" i="77"/>
  <c r="L10" i="77"/>
  <c r="O9" i="78"/>
  <c r="N9" i="78"/>
  <c r="L9" i="78"/>
  <c r="I9" i="78"/>
  <c r="H9" i="78"/>
  <c r="H13" i="73"/>
  <c r="O9" i="75"/>
  <c r="N9" i="75"/>
  <c r="L9" i="75"/>
  <c r="I9" i="75"/>
  <c r="H13" i="78" l="1"/>
  <c r="H11" i="73"/>
  <c r="H14" i="27"/>
  <c r="H11" i="78"/>
  <c r="H13" i="75"/>
  <c r="I18" i="5" l="1"/>
  <c r="I10" i="77" l="1"/>
  <c r="H14" i="77" s="1"/>
  <c r="I25" i="18" l="1"/>
  <c r="I10" i="44"/>
  <c r="H14" i="44" s="1"/>
  <c r="H10" i="77" l="1"/>
  <c r="H10" i="44"/>
  <c r="H10" i="5" l="1"/>
  <c r="O9" i="76"/>
  <c r="N9" i="76"/>
  <c r="L9" i="76"/>
  <c r="I9" i="76"/>
  <c r="H9" i="76"/>
  <c r="N25" i="18"/>
  <c r="L25" i="18"/>
  <c r="I16" i="5"/>
  <c r="I14" i="5"/>
  <c r="H12" i="77"/>
  <c r="O11" i="21"/>
  <c r="H15" i="21" s="1"/>
  <c r="I11" i="21"/>
  <c r="H12" i="5" s="1"/>
  <c r="L11" i="21"/>
  <c r="N11" i="21"/>
  <c r="G14" i="5"/>
  <c r="F10" i="5"/>
  <c r="F14" i="5"/>
  <c r="H10" i="6"/>
  <c r="E10" i="5" s="1"/>
  <c r="I10" i="6"/>
  <c r="L10" i="6"/>
  <c r="E14" i="5" s="1"/>
  <c r="N10" i="6"/>
  <c r="H12" i="4"/>
  <c r="D14" i="5"/>
  <c r="C10" i="5"/>
  <c r="C14" i="5"/>
  <c r="B5" i="5"/>
  <c r="O10" i="6"/>
  <c r="H20" i="5" l="1"/>
  <c r="H16" i="5"/>
  <c r="H14" i="5"/>
  <c r="E18" i="5"/>
  <c r="H28" i="19"/>
  <c r="E12" i="5"/>
  <c r="E20" i="5" s="1"/>
  <c r="H13" i="76"/>
  <c r="D18" i="5"/>
  <c r="G16" i="5"/>
  <c r="F12" i="5"/>
  <c r="D10" i="5"/>
  <c r="G12" i="5"/>
  <c r="D12" i="5"/>
  <c r="F16" i="5"/>
  <c r="F18" i="5"/>
  <c r="C12" i="5"/>
  <c r="C20" i="5" s="1"/>
  <c r="H12" i="27"/>
  <c r="H12" i="44"/>
  <c r="H11" i="76"/>
  <c r="G18" i="5"/>
  <c r="E16" i="5"/>
  <c r="H12" i="6"/>
  <c r="H11" i="75"/>
  <c r="C16" i="5"/>
  <c r="H13" i="21"/>
  <c r="H27" i="18"/>
  <c r="D16" i="5"/>
  <c r="O25" i="18"/>
  <c r="H29" i="18" s="1"/>
  <c r="E1" i="14"/>
  <c r="G10" i="5"/>
  <c r="G8" i="5"/>
  <c r="D8" i="5"/>
  <c r="M2" i="14" l="1"/>
  <c r="N2" i="14" s="1"/>
  <c r="H18" i="5"/>
  <c r="H22" i="5" s="1"/>
  <c r="H29" i="5" s="1"/>
  <c r="M4" i="14"/>
  <c r="N4" i="14" s="1"/>
  <c r="M3" i="14"/>
  <c r="N3" i="14" s="1"/>
  <c r="B16" i="5"/>
  <c r="D20" i="5"/>
  <c r="F22" i="5"/>
  <c r="F29" i="5" s="1"/>
  <c r="E22" i="5"/>
  <c r="D22" i="5"/>
  <c r="D29" i="5" s="1"/>
  <c r="F20" i="5"/>
  <c r="G20" i="5"/>
  <c r="E1" i="6"/>
  <c r="H14" i="6" s="1"/>
  <c r="C18" i="5"/>
  <c r="C22" i="5" s="1"/>
  <c r="C29" i="5" s="1"/>
  <c r="E1" i="24"/>
  <c r="H101" i="24" s="1"/>
  <c r="E1" i="30"/>
  <c r="H14" i="30" s="1"/>
  <c r="E1" i="7"/>
  <c r="H16" i="7" s="1"/>
  <c r="E1" i="4"/>
  <c r="H14" i="4" s="1"/>
  <c r="B18" i="5" l="1"/>
  <c r="G22" i="5" l="1"/>
  <c r="G29" i="5" s="1"/>
  <c r="B14" i="5" l="1"/>
  <c r="H14" i="74"/>
  <c r="I10" i="5" l="1"/>
  <c r="B10" i="5" s="1"/>
  <c r="H99" i="24" l="1"/>
  <c r="I12" i="5"/>
  <c r="B12" i="5" s="1"/>
  <c r="I22" i="5" l="1"/>
  <c r="I29" i="5" s="1"/>
  <c r="I20" i="5"/>
  <c r="B20" i="5" s="1"/>
  <c r="H30" i="19" l="1"/>
  <c r="E1" i="86" s="1"/>
  <c r="H58" i="86" s="1"/>
  <c r="E1" i="103" l="1"/>
  <c r="H15" i="103" s="1"/>
  <c r="M47" i="106" s="1"/>
  <c r="B22" i="5" l="1"/>
  <c r="B29" i="5" s="1"/>
  <c r="J8" i="5"/>
  <c r="J22" i="5" s="1"/>
  <c r="G28" i="104"/>
  <c r="T107" i="104" l="1"/>
  <c r="F31" i="104"/>
  <c r="B51" i="93" s="1"/>
  <c r="B53" i="93" s="1"/>
  <c r="T31" i="104" l="1"/>
  <c r="J107" i="104"/>
</calcChain>
</file>

<file path=xl/sharedStrings.xml><?xml version="1.0" encoding="utf-8"?>
<sst xmlns="http://schemas.openxmlformats.org/spreadsheetml/2006/main" count="3152" uniqueCount="787">
  <si>
    <t xml:space="preserve">   STATE VOTED ISSUES</t>
  </si>
  <si>
    <t xml:space="preserve">    RESIDENTIAL RENTAL PROJECTS</t>
  </si>
  <si>
    <t xml:space="preserve">  </t>
  </si>
  <si>
    <t>IDBs</t>
  </si>
  <si>
    <t>CERTIFIED</t>
  </si>
  <si>
    <t>UPDATE</t>
  </si>
  <si>
    <t>TOTALS</t>
  </si>
  <si>
    <t xml:space="preserve"> </t>
  </si>
  <si>
    <t xml:space="preserve">RESERVED </t>
  </si>
  <si>
    <t>DATE</t>
  </si>
  <si>
    <t>Available</t>
  </si>
  <si>
    <t>REGION 7</t>
  </si>
  <si>
    <t>SUBCEILING #4</t>
  </si>
  <si>
    <t>TDHCA - MF</t>
  </si>
  <si>
    <t xml:space="preserve">RESERVATION </t>
  </si>
  <si>
    <t>TOTAL</t>
  </si>
  <si>
    <t>All Other</t>
  </si>
  <si>
    <t>LOT #</t>
  </si>
  <si>
    <t>DEADLINE</t>
  </si>
  <si>
    <t xml:space="preserve">TOTALS </t>
  </si>
  <si>
    <t>Local HFC's MF</t>
  </si>
  <si>
    <t>SUBCEILING #1</t>
  </si>
  <si>
    <t xml:space="preserve">RELEASE/ </t>
  </si>
  <si>
    <t>REQUESTED</t>
  </si>
  <si>
    <t xml:space="preserve">SUBCEILING #3 </t>
  </si>
  <si>
    <t>State Voted</t>
  </si>
  <si>
    <t>REGION 9</t>
  </si>
  <si>
    <t>ALLOCATION</t>
  </si>
  <si>
    <t>RELEASE/</t>
  </si>
  <si>
    <t>UNSATISFIED REQUESTS</t>
  </si>
  <si>
    <t xml:space="preserve">   ALL OTHER ISSUES</t>
  </si>
  <si>
    <t>ISSUER</t>
  </si>
  <si>
    <t>DOCKET#</t>
  </si>
  <si>
    <t>MRB's</t>
  </si>
  <si>
    <t>35-DAY</t>
  </si>
  <si>
    <t xml:space="preserve">    MORTGAGE REVENUE BONDS</t>
  </si>
  <si>
    <t xml:space="preserve"> QUALIFIED SMALL ISSUE </t>
  </si>
  <si>
    <t>STATUS</t>
  </si>
  <si>
    <t>UTILIZATION</t>
  </si>
  <si>
    <t>REGION 6</t>
  </si>
  <si>
    <t xml:space="preserve">    REGION 3</t>
  </si>
  <si>
    <t>REGION 10</t>
  </si>
  <si>
    <t>AMOUNT</t>
  </si>
  <si>
    <t>In-Line</t>
  </si>
  <si>
    <t>RELEASED</t>
  </si>
  <si>
    <t>LOCATION</t>
  </si>
  <si>
    <t>PERCENTAGE</t>
  </si>
  <si>
    <t xml:space="preserve">SUBCEILING #2 </t>
  </si>
  <si>
    <t>or</t>
  </si>
  <si>
    <t>PROJECT</t>
  </si>
  <si>
    <t>RESERVATIONS RELEASED</t>
  </si>
  <si>
    <t>ELIGIBLE</t>
  </si>
  <si>
    <t>TSAHC - MF</t>
  </si>
  <si>
    <t xml:space="preserve">   </t>
  </si>
  <si>
    <t xml:space="preserve"> RESERVED  </t>
  </si>
  <si>
    <t xml:space="preserve"> AMOUNT </t>
  </si>
  <si>
    <t>SC 1</t>
  </si>
  <si>
    <t>SC 2</t>
  </si>
  <si>
    <t>SC 3</t>
  </si>
  <si>
    <t>SC 4</t>
  </si>
  <si>
    <t>SC 5</t>
  </si>
  <si>
    <t>SC 6</t>
  </si>
  <si>
    <t>REGION 13</t>
  </si>
  <si>
    <t>CERTIFIED TO DATE</t>
  </si>
  <si>
    <t>RESERVATIONS TO DATE</t>
  </si>
  <si>
    <t>ALLOCATIONS TO DATE</t>
  </si>
  <si>
    <t>REGION 5</t>
  </si>
  <si>
    <t>ELIGIBLE REQUESTS TO DATE</t>
  </si>
  <si>
    <t>TDHCA - 33.34%</t>
  </si>
  <si>
    <t xml:space="preserve">    REGION 1</t>
  </si>
  <si>
    <t xml:space="preserve">    REGION 2</t>
  </si>
  <si>
    <t>REGION 4</t>
  </si>
  <si>
    <t>REGION 12</t>
  </si>
  <si>
    <t>REGION 11</t>
  </si>
  <si>
    <t>REGION 8</t>
  </si>
  <si>
    <t xml:space="preserve">Available </t>
  </si>
  <si>
    <t>TDHCA</t>
  </si>
  <si>
    <t>CF</t>
  </si>
  <si>
    <t>Dallas</t>
  </si>
  <si>
    <t>Austin</t>
  </si>
  <si>
    <t>Houston</t>
  </si>
  <si>
    <t>San Antonio</t>
  </si>
  <si>
    <t>El Paso</t>
  </si>
  <si>
    <t>Mission EDC</t>
  </si>
  <si>
    <t xml:space="preserve"> REQUESTED </t>
  </si>
  <si>
    <t xml:space="preserve"> DESIGNATED </t>
  </si>
  <si>
    <t>FEE</t>
  </si>
  <si>
    <t xml:space="preserve"> CERTIFIED </t>
  </si>
  <si>
    <t xml:space="preserve"> CLOSED </t>
  </si>
  <si>
    <t xml:space="preserve">CARRYFORWARD </t>
  </si>
  <si>
    <t>REMAINING</t>
  </si>
  <si>
    <t>Priority 6</t>
  </si>
  <si>
    <t xml:space="preserve"> ALLOCATION </t>
  </si>
  <si>
    <t>(NET)</t>
  </si>
  <si>
    <t>Residential Rental</t>
  </si>
  <si>
    <t>Fort Worth</t>
  </si>
  <si>
    <t>CONFIRMATION</t>
  </si>
  <si>
    <t>Tarrant County HFC</t>
  </si>
  <si>
    <t>Travis County HFC</t>
  </si>
  <si>
    <t>Submission</t>
  </si>
  <si>
    <t>Current Year Cap</t>
  </si>
  <si>
    <t>Carryforward to CY</t>
  </si>
  <si>
    <t>Total Capacity</t>
  </si>
  <si>
    <t>Mortgage Revenue Bonds</t>
  </si>
  <si>
    <t>CF used</t>
  </si>
  <si>
    <t>HERA CF Used</t>
  </si>
  <si>
    <t>Mortgage Credit Certificates</t>
  </si>
  <si>
    <t>Multifamily Housing</t>
  </si>
  <si>
    <t>Housing Not Broken out</t>
  </si>
  <si>
    <t>Exempt Facilities</t>
  </si>
  <si>
    <t>Student Loans</t>
  </si>
  <si>
    <t>State Voted Issues</t>
  </si>
  <si>
    <t>Current Year Abandonded</t>
  </si>
  <si>
    <t>Carryforward Expiring</t>
  </si>
  <si>
    <t>2002 CF</t>
  </si>
  <si>
    <t>2003 CF</t>
  </si>
  <si>
    <t>2004 CF</t>
  </si>
  <si>
    <t>2005 CF</t>
  </si>
  <si>
    <t>2006 CF</t>
  </si>
  <si>
    <t>2007 CF</t>
  </si>
  <si>
    <t>2008 CF</t>
  </si>
  <si>
    <t>2009 CF</t>
  </si>
  <si>
    <t>HERA Carryforward</t>
  </si>
  <si>
    <t>2010 CF</t>
  </si>
  <si>
    <t>2011 CF</t>
  </si>
  <si>
    <t>2012 CF</t>
  </si>
  <si>
    <t>2013 CF</t>
  </si>
  <si>
    <t>2014 CF</t>
  </si>
  <si>
    <t>CF to next year</t>
  </si>
  <si>
    <t>2002*</t>
  </si>
  <si>
    <t>2001*</t>
  </si>
  <si>
    <t xml:space="preserve"> $- </t>
  </si>
  <si>
    <t>Allocation</t>
  </si>
  <si>
    <t>CF Allocated</t>
  </si>
  <si>
    <t>HERA CF Allocated</t>
  </si>
  <si>
    <t>CF Available</t>
  </si>
  <si>
    <t>Total Allocated</t>
  </si>
  <si>
    <t>Current Year Volume Cap Check</t>
  </si>
  <si>
    <t>Carryforward Check</t>
  </si>
  <si>
    <t>CF ABANDONED</t>
  </si>
  <si>
    <t>Current Year</t>
  </si>
  <si>
    <t>Capital Area HFC</t>
  </si>
  <si>
    <t>San Marcos</t>
  </si>
  <si>
    <t>Austin HFC</t>
  </si>
  <si>
    <t>Alamito PFC</t>
  </si>
  <si>
    <t>2015 CF</t>
  </si>
  <si>
    <t>N/A</t>
  </si>
  <si>
    <t>2016 CF</t>
  </si>
  <si>
    <t>Wichita Falls</t>
  </si>
  <si>
    <t>Priority 5</t>
  </si>
  <si>
    <t>TSAHC</t>
  </si>
  <si>
    <t>2017 CF</t>
  </si>
  <si>
    <t>Statewide</t>
  </si>
  <si>
    <t>Las Varas PFC</t>
  </si>
  <si>
    <t>Amount Available for Traditional Carryforward</t>
  </si>
  <si>
    <t xml:space="preserve">210-DAY </t>
  </si>
  <si>
    <t xml:space="preserve">150-DAY </t>
  </si>
  <si>
    <t>180-DAY</t>
  </si>
  <si>
    <t>Texas Home Collaborative</t>
  </si>
  <si>
    <t>2019 CF</t>
  </si>
  <si>
    <t>March 1 Local Collapse</t>
  </si>
  <si>
    <t>Victory Street PFC</t>
  </si>
  <si>
    <t>2018 CF</t>
  </si>
  <si>
    <t>Pflugerville</t>
  </si>
  <si>
    <t>Arlington HFC</t>
  </si>
  <si>
    <t>Arlington</t>
  </si>
  <si>
    <t>Crystal Bend Apts</t>
  </si>
  <si>
    <t>Rowlett</t>
  </si>
  <si>
    <t>McKinney HFC</t>
  </si>
  <si>
    <t>McKinney</t>
  </si>
  <si>
    <t>2020 CF</t>
  </si>
  <si>
    <t>PRIORITY</t>
  </si>
  <si>
    <t>MF</t>
  </si>
  <si>
    <t>APP #</t>
  </si>
  <si>
    <t>Decker Lake Apartments</t>
  </si>
  <si>
    <t>CF Abandoned (2017)</t>
  </si>
  <si>
    <t>CF used (17/18/19)</t>
  </si>
  <si>
    <t>CF Available (18/19)</t>
  </si>
  <si>
    <t>2020NTCF</t>
  </si>
  <si>
    <t>2020TCF</t>
  </si>
  <si>
    <t>2020 Total CF</t>
  </si>
  <si>
    <t>2020 Allocation</t>
  </si>
  <si>
    <t>All 2020 Allocation</t>
  </si>
  <si>
    <t>All Available in 2020</t>
  </si>
  <si>
    <t>Collapse</t>
  </si>
  <si>
    <t>CLOSING</t>
  </si>
  <si>
    <t>Amount Available</t>
  </si>
  <si>
    <t>August 15th</t>
  </si>
  <si>
    <t>Manor Apartments</t>
  </si>
  <si>
    <t>Region 1</t>
  </si>
  <si>
    <t>Region 2</t>
  </si>
  <si>
    <t>Region 3</t>
  </si>
  <si>
    <t>Region 4</t>
  </si>
  <si>
    <t>Region 5</t>
  </si>
  <si>
    <t>Region 6</t>
  </si>
  <si>
    <t>Region 7</t>
  </si>
  <si>
    <t>Region 8</t>
  </si>
  <si>
    <t>Region 9</t>
  </si>
  <si>
    <t>Region 10</t>
  </si>
  <si>
    <t>Region 11</t>
  </si>
  <si>
    <t>Region 12</t>
  </si>
  <si>
    <t>Region 13</t>
  </si>
  <si>
    <t>Region</t>
  </si>
  <si>
    <t>Number</t>
  </si>
  <si>
    <t>Percentage based on</t>
  </si>
  <si>
    <t>2020 Population</t>
  </si>
  <si>
    <t>Reordered</t>
  </si>
  <si>
    <t xml:space="preserve"> LOT#</t>
  </si>
  <si>
    <t>Shifted</t>
  </si>
  <si>
    <t>1A</t>
  </si>
  <si>
    <t>1B</t>
  </si>
  <si>
    <t>Lubbock</t>
  </si>
  <si>
    <t>Panhandle Regional HFC</t>
  </si>
  <si>
    <t>Amarillo</t>
  </si>
  <si>
    <t>Garland</t>
  </si>
  <si>
    <t>Mesquite</t>
  </si>
  <si>
    <t>1C</t>
  </si>
  <si>
    <t>Pasadena</t>
  </si>
  <si>
    <t>Houston HFC</t>
  </si>
  <si>
    <t>Blanco Basin</t>
  </si>
  <si>
    <t>Decker Lake Apts</t>
  </si>
  <si>
    <t>Strategic HFC of Travis County</t>
  </si>
  <si>
    <t>Brownsville</t>
  </si>
  <si>
    <t>San Antonio Housing Trust PFC</t>
  </si>
  <si>
    <t>Freeport</t>
  </si>
  <si>
    <t>THF PFC</t>
  </si>
  <si>
    <t>Waco PFC II</t>
  </si>
  <si>
    <t>Shamrock EDC</t>
  </si>
  <si>
    <t>Ecolomondo Project</t>
  </si>
  <si>
    <t>Shamrock</t>
  </si>
  <si>
    <t>Humble</t>
  </si>
  <si>
    <t>SMHA Finance PFC</t>
  </si>
  <si>
    <t xml:space="preserve">Port Arthur </t>
  </si>
  <si>
    <t>Waco</t>
  </si>
  <si>
    <t>Trinity River PFC</t>
  </si>
  <si>
    <t>Ft. Worth</t>
  </si>
  <si>
    <t>Lakeside Place PFC</t>
  </si>
  <si>
    <t>Excluding Amts Reserved</t>
  </si>
  <si>
    <t>2021 CF</t>
  </si>
  <si>
    <t>2022 TRADITIONAL CARRYFORWARD</t>
  </si>
  <si>
    <t>22CF-002</t>
  </si>
  <si>
    <t>2/1D</t>
  </si>
  <si>
    <t>3/1D</t>
  </si>
  <si>
    <t>Harris County</t>
  </si>
  <si>
    <t>HFCs - 56.66%</t>
  </si>
  <si>
    <t>Set-Aside Amount</t>
  </si>
  <si>
    <t>Set-Aside until 8/7</t>
  </si>
  <si>
    <t>Fort Bend County</t>
  </si>
  <si>
    <t>QMBs/MCCs</t>
  </si>
  <si>
    <t>MCCs</t>
  </si>
  <si>
    <t>Remaining post-8/7</t>
  </si>
  <si>
    <t>Remaining pre-8/7</t>
  </si>
  <si>
    <t># OF</t>
  </si>
  <si>
    <t>UNITS</t>
  </si>
  <si>
    <t>APP</t>
  </si>
  <si>
    <t>SUBMISSION</t>
  </si>
  <si>
    <t>2022 NON TRADITIONAL CARRYFORWARD</t>
  </si>
  <si>
    <t>Amount Available for Unencumbered Requests</t>
  </si>
  <si>
    <t>ASSIGNED</t>
  </si>
  <si>
    <t>Priority 3</t>
  </si>
  <si>
    <t>CARRYFORWARD 2022</t>
  </si>
  <si>
    <t>2023 TRADITIONAL CARRYFORWARD</t>
  </si>
  <si>
    <t>2023 NON TRADITIONAL CARRYFORWARD</t>
  </si>
  <si>
    <t>2022 CF</t>
  </si>
  <si>
    <t>2/Non-1D</t>
  </si>
  <si>
    <t>Lubbock HFC</t>
  </si>
  <si>
    <t>Dallas (City of) HFC</t>
  </si>
  <si>
    <t>The Mesquite HFC</t>
  </si>
  <si>
    <t>The Southeast Texas HFC</t>
  </si>
  <si>
    <t>Harris County HFC</t>
  </si>
  <si>
    <t>Northside Village</t>
  </si>
  <si>
    <t>Georgetown</t>
  </si>
  <si>
    <t>3/Non-1D</t>
  </si>
  <si>
    <t>Midland County PFC</t>
  </si>
  <si>
    <t>Midland</t>
  </si>
  <si>
    <t>Taylor</t>
  </si>
  <si>
    <t>Austin Housing PFC</t>
  </si>
  <si>
    <t>Port Arthur ND IDC</t>
  </si>
  <si>
    <t>Austin Affordable PFC, Inc</t>
  </si>
  <si>
    <t>Creek Bend Apartment Homes</t>
  </si>
  <si>
    <t>Spring</t>
  </si>
  <si>
    <t>Willow Creek Manor</t>
  </si>
  <si>
    <t>Housing Options, Inc</t>
  </si>
  <si>
    <t>Bissonnet Apartments</t>
  </si>
  <si>
    <t>1.7% of the State Ceiling Limit</t>
  </si>
  <si>
    <t>3.4% of the State Ceiling Limit</t>
  </si>
  <si>
    <t>TENTATIVE</t>
  </si>
  <si>
    <t>TAX CREDIT EMAIL NOTIFICATION</t>
  </si>
  <si>
    <t>23CF-002</t>
  </si>
  <si>
    <t>23CF-005</t>
  </si>
  <si>
    <t>23CF-007</t>
  </si>
  <si>
    <t>Manor</t>
  </si>
  <si>
    <t>Airport Commerce Apts</t>
  </si>
  <si>
    <t>Aspire/Big Austin</t>
  </si>
  <si>
    <t>Shelby Trace Apts</t>
  </si>
  <si>
    <t>Seguin</t>
  </si>
  <si>
    <t>Residenital Rental</t>
  </si>
  <si>
    <t>Brownsville HFC (PFC formed under Ch 303 LGC)</t>
  </si>
  <si>
    <t xml:space="preserve">TSAHC - 10% </t>
  </si>
  <si>
    <t>Tarrant County</t>
  </si>
  <si>
    <t>SF MRBs/MCCs</t>
  </si>
  <si>
    <t>Counties of Ellis, Hunt, Kaufman, Navarro, Rockwall and the Cities of Cedar Hill, DeSoto, Duncanville, Lancaster and Waxahachie, Texas</t>
  </si>
  <si>
    <t>Single Family MRBs/MCCs, Series 2023</t>
  </si>
  <si>
    <t>The Texas counties of Bastrop, Blanco, Burnet, Caldwell, Fayette, Hays, Lee, Llano and Williamson and the Texas city of San Marcos.</t>
  </si>
  <si>
    <t>Grand Prairie</t>
  </si>
  <si>
    <t>2023 SF Mortgage Origination Program</t>
  </si>
  <si>
    <t>Travis County</t>
  </si>
  <si>
    <t>TDHCA (Assigned by Arlington HFC)</t>
  </si>
  <si>
    <t>TDHCA (Assigned by Travis County HFC)</t>
  </si>
  <si>
    <t>TDHCA (Assigned by Tarrant County HFC)</t>
  </si>
  <si>
    <t>TDHCA (Assigned by McKinney HFC)</t>
  </si>
  <si>
    <t>TDHCA (Assigned by Harris County HFC)</t>
  </si>
  <si>
    <t>TDHCA (Assigned by Fort Bend County HFC)</t>
  </si>
  <si>
    <t>TDHCA (Assigned by The Cameron County HFC)</t>
  </si>
  <si>
    <t>HHA Fountainview PFC</t>
  </si>
  <si>
    <t>TDHCA (Assigned by Grand Prairie HFC)</t>
  </si>
  <si>
    <t>TDHCA (Assigned by Capital Area HFC)</t>
  </si>
  <si>
    <t>Solid Waste Disposal Facilities</t>
  </si>
  <si>
    <t>TDHCA (Assigned by North Central Texas HFC)</t>
  </si>
  <si>
    <t>TDHCA (Assigned by City of Dallas HFC)</t>
  </si>
  <si>
    <t>Melissa</t>
  </si>
  <si>
    <t>23CF-012</t>
  </si>
  <si>
    <t>Houstin</t>
  </si>
  <si>
    <t>2024 TRADITIONAL CARRYFORWARD</t>
  </si>
  <si>
    <t>2024 UNENCUMBERED STATE CEILING REQUESTS</t>
  </si>
  <si>
    <t>2024 NON TRADITIONAL CARRYFORWARD</t>
  </si>
  <si>
    <t>2023 CF</t>
  </si>
  <si>
    <t>Against 2022 &amp; 2023 CF</t>
  </si>
  <si>
    <t>CARRYFORWARD 2023</t>
  </si>
  <si>
    <t>Independence Village</t>
  </si>
  <si>
    <t>Westmoreland Townhomes</t>
  </si>
  <si>
    <t>Tenison Lofts</t>
  </si>
  <si>
    <t>The Ridge at Loop 12</t>
  </si>
  <si>
    <t>HiLine Illinois</t>
  </si>
  <si>
    <t>Wildwood Branch Apartments</t>
  </si>
  <si>
    <t>Bay Terrace Apartments</t>
  </si>
  <si>
    <t>Baytown</t>
  </si>
  <si>
    <t>Baypointe Apartments</t>
  </si>
  <si>
    <t>Webster</t>
  </si>
  <si>
    <t>Piedmont Apartments</t>
  </si>
  <si>
    <t>Liberty Hill Apartments</t>
  </si>
  <si>
    <t>Liberty Hill</t>
  </si>
  <si>
    <t>The Buzz in Kyle Apartments</t>
  </si>
  <si>
    <t>Kyle</t>
  </si>
  <si>
    <t>Maxwell Hwy 21</t>
  </si>
  <si>
    <t>Riverstone Apartments</t>
  </si>
  <si>
    <t>5900 S. Pleasant Valley Apartments</t>
  </si>
  <si>
    <t>Huntington Place Senior Living Little Elm</t>
  </si>
  <si>
    <t>Little Elm</t>
  </si>
  <si>
    <t>Texarkana</t>
  </si>
  <si>
    <t>UW CMC LLC</t>
  </si>
  <si>
    <t>Escuela Nueva</t>
  </si>
  <si>
    <t>Waelder</t>
  </si>
  <si>
    <t>800 Middle Apartments</t>
  </si>
  <si>
    <t>Royal Crest Apartments</t>
  </si>
  <si>
    <t>Multi-site</t>
  </si>
  <si>
    <t>Cameron HiLine Apartments</t>
  </si>
  <si>
    <t>Fairlake Cove Apartments</t>
  </si>
  <si>
    <t>Huffman</t>
  </si>
  <si>
    <t>Pleasant Hill Village</t>
  </si>
  <si>
    <t>The Culbreath</t>
  </si>
  <si>
    <t>North Texas HEA</t>
  </si>
  <si>
    <t>Northland Woods Apartments</t>
  </si>
  <si>
    <t>Brittons Place</t>
  </si>
  <si>
    <t>Brazos HEA, Inc</t>
  </si>
  <si>
    <t>Sinton Development Corporation</t>
  </si>
  <si>
    <t>ECOR Global Solid Waste Disposal and Recycling Facility</t>
  </si>
  <si>
    <t>Sinton</t>
  </si>
  <si>
    <t>Reserve at Ella Apartments</t>
  </si>
  <si>
    <t>Melissa Family Apartments</t>
  </si>
  <si>
    <t>Maxwell</t>
  </si>
  <si>
    <t>Including Amts Reserved</t>
  </si>
  <si>
    <t>THECB</t>
  </si>
  <si>
    <t>Southeast Texas</t>
  </si>
  <si>
    <t>23CF-015</t>
  </si>
  <si>
    <t>23CF-016</t>
  </si>
  <si>
    <t>23CF-013</t>
  </si>
  <si>
    <t>South Mesa Hills Apts</t>
  </si>
  <si>
    <t>Harris County HA PFC</t>
  </si>
  <si>
    <t>24CF-001</t>
  </si>
  <si>
    <t>Augustine at Palo Alto Apts Phase I</t>
  </si>
  <si>
    <t>24CF-002</t>
  </si>
  <si>
    <t>San Antonio HT PFC</t>
  </si>
  <si>
    <t>Orion Apts</t>
  </si>
  <si>
    <t>24CF-003</t>
  </si>
  <si>
    <t>Augustine at Palo Alto Apts Phase II</t>
  </si>
  <si>
    <t>24CF-004</t>
  </si>
  <si>
    <t>Juniper Landing</t>
  </si>
  <si>
    <t>Texas City</t>
  </si>
  <si>
    <t>24CF-005</t>
  </si>
  <si>
    <t>WITHDRAWN</t>
  </si>
  <si>
    <t>CLOSED</t>
  </si>
  <si>
    <t>MRBs/MCCs</t>
  </si>
  <si>
    <t>Paradise Gardens</t>
  </si>
  <si>
    <t>Nortex HFC</t>
  </si>
  <si>
    <t>Sun Valley Apartments</t>
  </si>
  <si>
    <t>24CF-006</t>
  </si>
  <si>
    <t>Creek Bend Phase II Apt Homes</t>
  </si>
  <si>
    <t>Payton Gin Apartments</t>
  </si>
  <si>
    <t>Loyola Flats</t>
  </si>
  <si>
    <t>Rundberg Flats</t>
  </si>
  <si>
    <t>Recover Howard LLC Project</t>
  </si>
  <si>
    <t>Big Spring</t>
  </si>
  <si>
    <t>Riverbreeze Apartments</t>
  </si>
  <si>
    <t>24CF-007</t>
  </si>
  <si>
    <t>Bay Terrace Apts</t>
  </si>
  <si>
    <t>Taylor Farms</t>
  </si>
  <si>
    <t>Walnut Springs</t>
  </si>
  <si>
    <t>Parmer North Apartments</t>
  </si>
  <si>
    <t>The Aere at Easton Park</t>
  </si>
  <si>
    <t>El Paso HFC</t>
  </si>
  <si>
    <t>QMBs/MCCs 2024</t>
  </si>
  <si>
    <t>Cameron County</t>
  </si>
  <si>
    <t>Central Texas</t>
  </si>
  <si>
    <t>Single Family MRBs/MCCs, Series 2024</t>
  </si>
  <si>
    <t>QMBs/MCCs Series 2024</t>
  </si>
  <si>
    <t>Northeast Texas HFC</t>
  </si>
  <si>
    <t>Louetta Farms</t>
  </si>
  <si>
    <t>Seville Place Apartments</t>
  </si>
  <si>
    <t>La Porte</t>
  </si>
  <si>
    <t>Manchester Apartments</t>
  </si>
  <si>
    <t>Lakeway Apartments</t>
  </si>
  <si>
    <t>24CF-008</t>
  </si>
  <si>
    <t>Manor Apts</t>
  </si>
  <si>
    <t>Morningstar Square</t>
  </si>
  <si>
    <t>5249; $18,910,000</t>
  </si>
  <si>
    <t>24CF-009</t>
  </si>
  <si>
    <t>24CF-010</t>
  </si>
  <si>
    <t>Bristol at the Preserve Apts Phase I</t>
  </si>
  <si>
    <t>24CF-011</t>
  </si>
  <si>
    <t>Bristol at the Preserve Apts Phase II</t>
  </si>
  <si>
    <t>24CF-012</t>
  </si>
  <si>
    <t>Sunset Ridge Apts</t>
  </si>
  <si>
    <t>24CF-013</t>
  </si>
  <si>
    <t>Stones Crossing Apt Homes</t>
  </si>
  <si>
    <t>24CF-014</t>
  </si>
  <si>
    <t>Taylor Family - Phase I</t>
  </si>
  <si>
    <t>TDHCA (Assigned by Rowlett HFC)</t>
  </si>
  <si>
    <t>Independence Heights II</t>
  </si>
  <si>
    <t>Hughes House II</t>
  </si>
  <si>
    <t>Against 2024 CF</t>
  </si>
  <si>
    <t>24CF-015</t>
  </si>
  <si>
    <t>Creek Bend Apt Homes</t>
  </si>
  <si>
    <r>
      <t xml:space="preserve">STATUS OF </t>
    </r>
    <r>
      <rPr>
        <b/>
        <sz val="9"/>
        <rFont val="Times New Roman"/>
        <family val="1"/>
      </rPr>
      <t>2025</t>
    </r>
    <r>
      <rPr>
        <sz val="9"/>
        <rFont val="Times New Roman"/>
        <family val="1"/>
      </rPr>
      <t xml:space="preserve"> ALLOCATION PROGRAM AS OF - </t>
    </r>
  </si>
  <si>
    <t>Any amount returned after 11/15/2025 will go towards 2025 Traditional Carryforward Applications</t>
  </si>
  <si>
    <t>2025 TRADITIONAL CARRYFORWARD</t>
  </si>
  <si>
    <t>2025 UNENCUMBERED STATE CEILING REQUESTS</t>
  </si>
  <si>
    <t>2025 NON TRADITIONAL CARRYFORWARD</t>
  </si>
  <si>
    <t xml:space="preserve">2025 STATE CEILING </t>
  </si>
  <si>
    <t>CARRYFORWARD 2024</t>
  </si>
  <si>
    <t>CURRENT AVAILABLE ALLOCATION 2025</t>
  </si>
  <si>
    <t>CAL 2025/2026</t>
  </si>
  <si>
    <t>25-035</t>
  </si>
  <si>
    <t>25-117</t>
  </si>
  <si>
    <t>Hillcrest Manor Apartments</t>
  </si>
  <si>
    <t>25-116</t>
  </si>
  <si>
    <t>25-119</t>
  </si>
  <si>
    <t>25-076</t>
  </si>
  <si>
    <t>25-078</t>
  </si>
  <si>
    <t>25-107</t>
  </si>
  <si>
    <t>25-080</t>
  </si>
  <si>
    <t>25-083</t>
  </si>
  <si>
    <t>25-079</t>
  </si>
  <si>
    <t>25-085</t>
  </si>
  <si>
    <t>Rowlett HFC</t>
  </si>
  <si>
    <t>Lakeview Senior Living</t>
  </si>
  <si>
    <t>Torrington Briarwood</t>
  </si>
  <si>
    <t>The Enclave on Wheatland</t>
  </si>
  <si>
    <t>Denton County HFC</t>
  </si>
  <si>
    <t>Waters at Stone Creek</t>
  </si>
  <si>
    <t>Lewisville</t>
  </si>
  <si>
    <t>The Legacy on Kiest</t>
  </si>
  <si>
    <t>The Heights at Country Creek</t>
  </si>
  <si>
    <t>Palladium Buckner Station</t>
  </si>
  <si>
    <t>The Gateway at Trinity Forest</t>
  </si>
  <si>
    <t>The Legacy on Belt Line</t>
  </si>
  <si>
    <t>CF Hawn Apartments</t>
  </si>
  <si>
    <t>25-109</t>
  </si>
  <si>
    <t>25-081</t>
  </si>
  <si>
    <t>25-108</t>
  </si>
  <si>
    <t>Tuscany at Goldmark</t>
  </si>
  <si>
    <t>Torrington Davis</t>
  </si>
  <si>
    <t>Torrington Forest</t>
  </si>
  <si>
    <t>25-125</t>
  </si>
  <si>
    <t>25-049</t>
  </si>
  <si>
    <t>Town North Apartments</t>
  </si>
  <si>
    <t>25-055</t>
  </si>
  <si>
    <t>Jefferson County HFC</t>
  </si>
  <si>
    <t>Seville Apartments</t>
  </si>
  <si>
    <t>Beaumont</t>
  </si>
  <si>
    <t>Timbers Edge Apartments</t>
  </si>
  <si>
    <t>Alcott Village</t>
  </si>
  <si>
    <t>Sunflower Terrace Apartments</t>
  </si>
  <si>
    <t>Enclave at Cypress</t>
  </si>
  <si>
    <t>Cypress</t>
  </si>
  <si>
    <t>Wyndham Park</t>
  </si>
  <si>
    <t>Enclave at Katy</t>
  </si>
  <si>
    <t>Katy</t>
  </si>
  <si>
    <t>25-014</t>
  </si>
  <si>
    <t>25-013</t>
  </si>
  <si>
    <t>25-118</t>
  </si>
  <si>
    <t>25-084</t>
  </si>
  <si>
    <t>25-086</t>
  </si>
  <si>
    <t>25-090</t>
  </si>
  <si>
    <t>Enclave at Crosby</t>
  </si>
  <si>
    <t>Crosby</t>
  </si>
  <si>
    <t>Serenity Palms</t>
  </si>
  <si>
    <t>Hays Street Apartments</t>
  </si>
  <si>
    <t>Kangle Southern Gardens</t>
  </si>
  <si>
    <t>25-088</t>
  </si>
  <si>
    <t>25-045</t>
  </si>
  <si>
    <t>25-044</t>
  </si>
  <si>
    <t>Coolwood Oaks Apartments</t>
  </si>
  <si>
    <t>Haverstock East</t>
  </si>
  <si>
    <t>Haverstock West</t>
  </si>
  <si>
    <t>25-009</t>
  </si>
  <si>
    <t>25-017</t>
  </si>
  <si>
    <t>25-007</t>
  </si>
  <si>
    <t>25-019</t>
  </si>
  <si>
    <t>25-073</t>
  </si>
  <si>
    <t>25-074</t>
  </si>
  <si>
    <t>25-043</t>
  </si>
  <si>
    <t>25-072</t>
  </si>
  <si>
    <t>25-018</t>
  </si>
  <si>
    <t>25-103</t>
  </si>
  <si>
    <t>25-047</t>
  </si>
  <si>
    <t>25-032</t>
  </si>
  <si>
    <t>Branchview Apartments</t>
  </si>
  <si>
    <t>Huntington Place Senior Living Georgetown</t>
  </si>
  <si>
    <t>Caseybridge Seniors Apartments</t>
  </si>
  <si>
    <t>25-001</t>
  </si>
  <si>
    <t>25-031</t>
  </si>
  <si>
    <t>25-106</t>
  </si>
  <si>
    <t>25-105</t>
  </si>
  <si>
    <t>25-012</t>
  </si>
  <si>
    <t>25-029</t>
  </si>
  <si>
    <t>25-056</t>
  </si>
  <si>
    <t>25-064</t>
  </si>
  <si>
    <t>25-111</t>
  </si>
  <si>
    <t>25-040</t>
  </si>
  <si>
    <t>25-051</t>
  </si>
  <si>
    <t>25-050</t>
  </si>
  <si>
    <t>25-120</t>
  </si>
  <si>
    <t>25-101</t>
  </si>
  <si>
    <t>25-070</t>
  </si>
  <si>
    <t>25-102</t>
  </si>
  <si>
    <t>25-060</t>
  </si>
  <si>
    <t>25-122</t>
  </si>
  <si>
    <t>Project Wharton</t>
  </si>
  <si>
    <t>Wharton</t>
  </si>
  <si>
    <t>Tax-Exempt Student Loan Program Revenue Bonds</t>
  </si>
  <si>
    <t>Graphic Packaging International, LLC Series 2025</t>
  </si>
  <si>
    <t>Seaport Village</t>
  </si>
  <si>
    <t>Galveston</t>
  </si>
  <si>
    <t>Sienna Villas</t>
  </si>
  <si>
    <t>Brady Apartments</t>
  </si>
  <si>
    <t>Lancaster</t>
  </si>
  <si>
    <t>Regency Apartments</t>
  </si>
  <si>
    <t>Jackson Road Apartments</t>
  </si>
  <si>
    <t>McAllen</t>
  </si>
  <si>
    <t>NULL</t>
  </si>
  <si>
    <t>Lancaster Apartments</t>
  </si>
  <si>
    <t>Forest Creek Apartments</t>
  </si>
  <si>
    <t>Whisper Hill Apartments</t>
  </si>
  <si>
    <t>Bridge at Treeline Apartments</t>
  </si>
  <si>
    <t>Sugar Creek Apartments</t>
  </si>
  <si>
    <t>Village at Meadowbend</t>
  </si>
  <si>
    <t>Temple</t>
  </si>
  <si>
    <t>Port Lavaca Housing Management PFC</t>
  </si>
  <si>
    <t>Cottages on Independence</t>
  </si>
  <si>
    <t>Port Lavaca</t>
  </si>
  <si>
    <t>The Meadows</t>
  </si>
  <si>
    <t>Waste Management, Inc.</t>
  </si>
  <si>
    <t>Cinco PFC</t>
  </si>
  <si>
    <t>Marine Creek Apartments</t>
  </si>
  <si>
    <t>Waterwood Villas</t>
  </si>
  <si>
    <t>Richardson</t>
  </si>
  <si>
    <t>Idlewilde Apartments</t>
  </si>
  <si>
    <t>The Edge at Houston</t>
  </si>
  <si>
    <t>Covington Acres</t>
  </si>
  <si>
    <t>Keene</t>
  </si>
  <si>
    <t>Legacy Denton PFC</t>
  </si>
  <si>
    <t>Roselawn Village</t>
  </si>
  <si>
    <t>Denton</t>
  </si>
  <si>
    <t>Tax-Exempt Student Loan Program Revenue Bonds, Series 2025</t>
  </si>
  <si>
    <t>Sherman Farms</t>
  </si>
  <si>
    <t>Sherman</t>
  </si>
  <si>
    <t>Emberstone Apartments</t>
  </si>
  <si>
    <t>Little Elm Family Apartments</t>
  </si>
  <si>
    <t>Orion Apartments</t>
  </si>
  <si>
    <t>Pearsall Place Apartments</t>
  </si>
  <si>
    <t>Lakeside Lofts</t>
  </si>
  <si>
    <t>Panda High Plains Hemp Gin Holdings, LLC Series 2025</t>
  </si>
  <si>
    <t>Waterford at Spencer Oaks</t>
  </si>
  <si>
    <t>Galm Road Apartments</t>
  </si>
  <si>
    <t>Central at Commerce</t>
  </si>
  <si>
    <t>Sage Lofts</t>
  </si>
  <si>
    <t>Oak Hill Apartments</t>
  </si>
  <si>
    <t>Lofts at Creekview</t>
  </si>
  <si>
    <t>Maya Apartments</t>
  </si>
  <si>
    <t>Project Titania</t>
  </si>
  <si>
    <t>Stones Crossing Apartment Homes</t>
  </si>
  <si>
    <t>Lantana Grove</t>
  </si>
  <si>
    <t>Melody Grove II</t>
  </si>
  <si>
    <t>Fractal Polymers LLC</t>
  </si>
  <si>
    <t>Lafayette Apartments</t>
  </si>
  <si>
    <t>Morningside at the Meadows Apartments</t>
  </si>
  <si>
    <t>Sacred Heart Villa Apartments</t>
  </si>
  <si>
    <t>Judy at VIDA Apartments</t>
  </si>
  <si>
    <t>Taylor Family Phase I</t>
  </si>
  <si>
    <t>Permian Basin Water Resources, LLC Water &amp; Wastewater Facilities Expansion Project 2025</t>
  </si>
  <si>
    <t>The Fraley</t>
  </si>
  <si>
    <t>The Bloom at Lamar Square</t>
  </si>
  <si>
    <t>24CF-016</t>
  </si>
  <si>
    <t>24CF-017</t>
  </si>
  <si>
    <t>Braniff Lofts</t>
  </si>
  <si>
    <t>Travis County Facilities Corporation</t>
  </si>
  <si>
    <t>Belmont Apartments</t>
  </si>
  <si>
    <t>Commons at Acequia Trails Apartments</t>
  </si>
  <si>
    <t>2024 CF</t>
  </si>
  <si>
    <t>25CF-001</t>
  </si>
  <si>
    <t>25CF-002</t>
  </si>
  <si>
    <t>Ledgestone Apts</t>
  </si>
  <si>
    <t>Bexar M&amp;DC</t>
  </si>
  <si>
    <t>Lubbock Housing Opportunities Corp</t>
  </si>
  <si>
    <t>RESERVED</t>
  </si>
  <si>
    <t>**Tax Credit Email- 1/7/2025- withdrawn 1/6/2025</t>
  </si>
  <si>
    <t>**Tax Credit Email- 1/6/2025- received 1/7/2025</t>
  </si>
  <si>
    <t>**Tax Credit Email- 1/8/2025- withdrawn 1/9/2025</t>
  </si>
  <si>
    <t>**Tax Credit Email- 1/7/2025- received 1/9/2025</t>
  </si>
  <si>
    <t>**Tax Credit Email- 1/6/2025- received 1/9/2025</t>
  </si>
  <si>
    <t>**Tax Credit Email- 1/7/2025- received 1/10/2025</t>
  </si>
  <si>
    <t>2023CF (5081)</t>
  </si>
  <si>
    <t>2022CF(4903)</t>
  </si>
  <si>
    <t>2024CF (5199)</t>
  </si>
  <si>
    <t>Housing Options, Inc.</t>
  </si>
  <si>
    <t>**Tax Credit Email- 1/10/2025- withdrawn 1/10/2025</t>
  </si>
  <si>
    <t>**Tax Credit Email- 1/8/2025- received 1/13/2025</t>
  </si>
  <si>
    <t>**Tax Credit Email- 1/13/2025- withdrawn 1/13/2025</t>
  </si>
  <si>
    <t>**Tax Credit Email- 1/9/2025- received 1/14/2025</t>
  </si>
  <si>
    <t>**Tax Credit Email- 1/9/2025- withdrawn 1/14/2025</t>
  </si>
  <si>
    <t>**Tax Credit Email- 1/10/2025- received 1/15/2025</t>
  </si>
  <si>
    <t>**Tax Credit Email- 1/10/2025- withdrawn 1/15/2025</t>
  </si>
  <si>
    <t>**Tax Credit Email- 1/13/2025- received 1/16/2025</t>
  </si>
  <si>
    <t>**Tax Credit Email- 1/16/2025- withdrawn 1/16/2025</t>
  </si>
  <si>
    <t>Renaissance Square Apts III</t>
  </si>
  <si>
    <t>**Tax Credit Email- 1/16/2025- withdrawn 1/22/2025</t>
  </si>
  <si>
    <t>2024CF (5239)</t>
  </si>
  <si>
    <t>2024CF (5243)</t>
  </si>
  <si>
    <t>2024CF (5253)</t>
  </si>
  <si>
    <t>**Tax Credit Email- 1/16/2025- received 1/22/2025</t>
  </si>
  <si>
    <t>**Tax Credit Email- 1/17/2025- received 1/23/2025</t>
  </si>
  <si>
    <t>2024CF (5252)</t>
  </si>
  <si>
    <t>25-135</t>
  </si>
  <si>
    <t>The Heights at UNT Station</t>
  </si>
  <si>
    <t>25-136</t>
  </si>
  <si>
    <t>San Antonio HTFC</t>
  </si>
  <si>
    <t>**Tax Credit Email- 1/22/2025- received 1/27/2025</t>
  </si>
  <si>
    <t>5317; $25,000,000</t>
  </si>
  <si>
    <t>2024CF (5247)</t>
  </si>
  <si>
    <t>**Tax Credit Email- 1/23/2025- received 1/28/2025</t>
  </si>
  <si>
    <t>Cairn Point Montopolis Apts</t>
  </si>
  <si>
    <t>5320; $23,500,000</t>
  </si>
  <si>
    <t>2024CF (5209)</t>
  </si>
  <si>
    <t>5321; $35,000,000</t>
  </si>
  <si>
    <t>2024CF (5321)</t>
  </si>
  <si>
    <t>5267; $143,868,101.05</t>
  </si>
  <si>
    <t>Excludes $162,000,000 of CF from 2023</t>
  </si>
  <si>
    <t>5322; $35,000,000</t>
  </si>
  <si>
    <t>5323; $50,000,000</t>
  </si>
  <si>
    <t>2024CF (5240)</t>
  </si>
  <si>
    <t>2024CF (5235)</t>
  </si>
  <si>
    <t>**Tax Credit Email- 2/12/2025- received 2/18/2025</t>
  </si>
  <si>
    <t>Excludes $18,910,000 of CF from 2023</t>
  </si>
  <si>
    <t>Fiji Lofts</t>
  </si>
  <si>
    <t>Murdeaux Villas</t>
  </si>
  <si>
    <t>The Cameron County HFC</t>
  </si>
  <si>
    <t>Palms Breeze Village</t>
  </si>
  <si>
    <t>**Tax Credit Email 2/25/2025- received 2/27/2025</t>
  </si>
  <si>
    <t>**Tax Credit Email 2/24/2025- received 2/27/2025</t>
  </si>
  <si>
    <t>**Tax Credit Email 2/24/2025- withdrawn 2/27/2025</t>
  </si>
  <si>
    <t>2024CF (5254)</t>
  </si>
  <si>
    <t>2024CF (5204)</t>
  </si>
  <si>
    <t>2024CF (5204 &amp; 5244)</t>
  </si>
  <si>
    <t>**Tax Credit Email 2/27/2025- see Local Collapse tab</t>
  </si>
  <si>
    <t>25-143</t>
  </si>
  <si>
    <t>Pharr HFC</t>
  </si>
  <si>
    <t>Aster Villas Apartments</t>
  </si>
  <si>
    <t>Pharr</t>
  </si>
  <si>
    <t>Single Family QMB/MCC</t>
  </si>
  <si>
    <t>2024CF (5213)</t>
  </si>
  <si>
    <t>25-145</t>
  </si>
  <si>
    <t>Bexar County HFC</t>
  </si>
  <si>
    <t>Merida Apartments</t>
  </si>
  <si>
    <t>**Tax Credit Email 3/3/2025- received 3/4/2025</t>
  </si>
  <si>
    <t>**Tax Credit Email 2/27/2025- withdrawn 3/4/2025</t>
  </si>
  <si>
    <t>**Tax Credit Email 3/4/2025- withdrawn 3/4/2025</t>
  </si>
  <si>
    <t>**Tax Credit Email 3/4/2025- received 3/5/2025</t>
  </si>
  <si>
    <t>**Tax Credit Email 3/3/2025- received 3/6/2025</t>
  </si>
  <si>
    <t>25-146</t>
  </si>
  <si>
    <t>2024CF (5233 &amp; 5236)</t>
  </si>
  <si>
    <t>**Tax Credit Email 3/4/2025- received 3/7/2025</t>
  </si>
  <si>
    <t>**Tax Credit Email 3/7/2025- withdrawn 3/12/2025</t>
  </si>
  <si>
    <t>**Tax Credit Email 3/10/2025- expired 3/14/2025</t>
  </si>
  <si>
    <t>**Tax Credit Email 3/13/2025- withdrawn 3/17/2025</t>
  </si>
  <si>
    <t>EXPIRED</t>
  </si>
  <si>
    <t>**Tax Credit Email 3/17/2025- withdrawn 3/20/2025</t>
  </si>
  <si>
    <t>**Tax Credit Email 3/17/2025- received 3/20/2025</t>
  </si>
  <si>
    <t>25-150</t>
  </si>
  <si>
    <t>Oak Timbers North Apartments</t>
  </si>
  <si>
    <t>25-151</t>
  </si>
  <si>
    <t>Oak Timbers South Apartments</t>
  </si>
  <si>
    <t>Shady Acres Bungalows</t>
  </si>
  <si>
    <t>25-153</t>
  </si>
  <si>
    <t>Baraboo Hills</t>
  </si>
  <si>
    <t>**Tax Credit Email 3/21/2025- withdrawn 3/26/2025</t>
  </si>
  <si>
    <t>Sycamores at Pleasant Valley</t>
  </si>
  <si>
    <t>**Tax Credit Email 3/27/2025- withdrawn 4/1/2025</t>
  </si>
  <si>
    <t>25-155</t>
  </si>
  <si>
    <t>5347; $25,000,000</t>
  </si>
  <si>
    <t>2024CF (5238)</t>
  </si>
  <si>
    <t>Mill Stream Apt Homes</t>
  </si>
  <si>
    <t>5348; $2,000,000</t>
  </si>
  <si>
    <t>5330; $26,102,168.20</t>
  </si>
  <si>
    <t>2023CF (5058)</t>
  </si>
  <si>
    <t>**Site Control Email- 4/14/2025- received 4/15/2025</t>
  </si>
  <si>
    <t>**Site Control Email- 4/14/2025- withdrawn 4/15/2025</t>
  </si>
  <si>
    <t>Water Furnishing Facilities</t>
  </si>
  <si>
    <t>5350; $2,500,000</t>
  </si>
  <si>
    <t>2024CF (5268)</t>
  </si>
  <si>
    <t>2024CF (5212)</t>
  </si>
  <si>
    <t>CANCELLED</t>
  </si>
  <si>
    <t>5358; $6,000,000</t>
  </si>
  <si>
    <t>2024CF (5263)</t>
  </si>
  <si>
    <t>2023CF (23CF-012 &amp; 5091)</t>
  </si>
  <si>
    <t>Excludes $35,000,000 of CF from 2022</t>
  </si>
  <si>
    <t>25-161</t>
  </si>
  <si>
    <t>Waters at Arrowood</t>
  </si>
  <si>
    <t>Excludes $52,000,000 of CF from 2023</t>
  </si>
  <si>
    <t>**Site Control Email- 5/7/2025- received 5/7/2025</t>
  </si>
  <si>
    <t>5290; $45,600,000</t>
  </si>
  <si>
    <t>5364; $35,000,000</t>
  </si>
  <si>
    <t>2022CF (5364)</t>
  </si>
  <si>
    <t>5365; $52,000,000</t>
  </si>
  <si>
    <t>2023CF (5365)</t>
  </si>
  <si>
    <t>5366; $27,500,000</t>
  </si>
  <si>
    <t>5326; $6,000,000 &amp; 5366: $2,050,000</t>
  </si>
  <si>
    <t>5366; $950,000</t>
  </si>
  <si>
    <t>2024CF (5204 &amp; 5244 &amp; 5245)</t>
  </si>
  <si>
    <t>Waters at Waterchase</t>
  </si>
  <si>
    <t>**Site Control Email- 5/7/2025- received 5/12/2025</t>
  </si>
  <si>
    <t>Vinton Steel Project</t>
  </si>
  <si>
    <t>Vinton</t>
  </si>
  <si>
    <t>**Tax Credit Email 5/12/2025- received 5/15/2025</t>
  </si>
  <si>
    <t>5370; $20,000,000</t>
  </si>
  <si>
    <t>2024CF (5246)</t>
  </si>
  <si>
    <t>5349; $170,840,815</t>
  </si>
  <si>
    <t>5351; $25,000,000</t>
  </si>
  <si>
    <t>25-168</t>
  </si>
  <si>
    <t>Humble Family Apartments</t>
  </si>
  <si>
    <t>25-170</t>
  </si>
  <si>
    <t>Denison Family Apts</t>
  </si>
  <si>
    <t>Denison</t>
  </si>
  <si>
    <t>**Tax Credit Email 6/3/2025- withdrawn 6/4/2025</t>
  </si>
  <si>
    <t>5376; $15,000,000</t>
  </si>
  <si>
    <t>5322; $35,000,000 &amp; 5376; $15,000,000</t>
  </si>
  <si>
    <t>25CF-003</t>
  </si>
  <si>
    <t>25-171</t>
  </si>
  <si>
    <t>25-172</t>
  </si>
  <si>
    <t>Victoria HFC</t>
  </si>
  <si>
    <t>Odem Street Apartments</t>
  </si>
  <si>
    <t>Victoria</t>
  </si>
  <si>
    <t>25-173</t>
  </si>
  <si>
    <t>The Ella Apartments</t>
  </si>
  <si>
    <t>25-174</t>
  </si>
  <si>
    <t>Pleasanton PFC</t>
  </si>
  <si>
    <t>Main Street Apartments</t>
  </si>
  <si>
    <t>Pleasanton</t>
  </si>
  <si>
    <t>5314; $41,000,000 &amp; 5285; $9,000,000</t>
  </si>
  <si>
    <t>25-175</t>
  </si>
  <si>
    <t>25-176</t>
  </si>
  <si>
    <t>Evans &amp; Rosedale Urban Village</t>
  </si>
  <si>
    <t>25-177</t>
  </si>
  <si>
    <t>25CF-004</t>
  </si>
  <si>
    <t>25-178</t>
  </si>
  <si>
    <t>25-179</t>
  </si>
  <si>
    <t>Miller's Pond Apts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</si>
</sst>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6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&quot;$&quot;#,##0.00"/>
    <numFmt numFmtId="166" formatCode="&quot;$&quot;#,##0"/>
    <numFmt numFmtId="167" formatCode="m/d"/>
    <numFmt numFmtId="168" formatCode="_(&quot;$&quot;* #,##0.00_);_(&quot;$&quot;* \(#,##0.00\);_(&quot;$&quot;* &quot;-&quot;_);_(@_)"/>
    <numFmt numFmtId="169" formatCode="0.0%"/>
    <numFmt numFmtId="170" formatCode="_(&quot;$&quot;* #,##0.0_);_(&quot;$&quot;* \(#,##0.0\);_(&quot;$&quot;* &quot;-&quot;??_);_(@_)"/>
    <numFmt numFmtId="171" formatCode="0.000%"/>
    <numFmt numFmtId="172" formatCode="&quot;$&quot;#,##0.000"/>
    <numFmt numFmtId="173" formatCode="&quot;$&quot;#,##0.0000"/>
    <numFmt numFmtId="174" formatCode="_(&quot;$&quot;* #,##0.0000_);_(&quot;$&quot;* \(#,##0.0000\);_(&quot;$&quot;* &quot;-&quot;????_);_(@_)"/>
    <numFmt numFmtId="175" formatCode="_(* #,##0_);_(* \(#,##0\);_(* &quot;-&quot;??_);_(@_)"/>
    <numFmt numFmtId="176" formatCode="_(&quot;$&quot;* #,##0.0000_);_(&quot;$&quot;* \(#,##0.0000\);_(&quot;$&quot;* &quot;-&quot;??_);_(@_)"/>
    <numFmt numFmtId="177" formatCode="0.0000%"/>
    <numFmt numFmtId="178" formatCode="_(&quot;$&quot;* #,##0_);_(&quot;$&quot;* \(#,##0\);_(&quot;$&quot;* &quot;-&quot;?????_);_(@_)"/>
    <numFmt numFmtId="179" formatCode="_(&quot;$&quot;* #,##0.0_);_(&quot;$&quot;* \(#,##0.0\);_(&quot;$&quot;* &quot;-&quot;?_);_(@_)"/>
    <numFmt numFmtId="180" formatCode="0.00000%"/>
    <numFmt numFmtId="181" formatCode="&quot;$&quot;#,##0.0_);[Red]\(&quot;$&quot;#,##0.0\)"/>
    <numFmt numFmtId="182" formatCode="_(&quot;$&quot;* #,##0.00000_);_(&quot;$&quot;* \(#,##0.00000\);_(&quot;$&quot;* &quot;-&quot;?????_);_(@_)"/>
  </numFmts>
  <fonts count="30">
    <font>
      <sz val="9"/>
      <name val="Geneva"/>
    </font>
    <font>
      <b/>
      <sz val="9"/>
      <name val="Geneva"/>
    </font>
    <font>
      <sz val="9"/>
      <name val="Geneva"/>
    </font>
    <font>
      <sz val="8"/>
      <name val="Geneva"/>
    </font>
    <font>
      <sz val="9"/>
      <name val="Times New Roman"/>
      <family val="1"/>
    </font>
    <font>
      <b/>
      <sz val="9"/>
      <name val="Times New Roman"/>
      <family val="1"/>
    </font>
    <font>
      <b/>
      <sz val="9"/>
      <color indexed="10"/>
      <name val="Times New Roman"/>
      <family val="1"/>
    </font>
    <font>
      <sz val="10"/>
      <name val="arial"/>
      <family val="2"/>
    </font>
    <font>
      <b/>
      <sz val="9"/>
      <name val="times new"/>
    </font>
    <font>
      <sz val="9"/>
      <name val="times new"/>
    </font>
    <font>
      <b/>
      <sz val="10"/>
      <name val="Times New Roman"/>
      <family val="1"/>
    </font>
    <font>
      <sz val="10"/>
      <name val="Times New Roman"/>
      <family val="1"/>
    </font>
    <font>
      <sz val="6.75"/>
      <color indexed="8"/>
      <name val="Arial"/>
      <family val="2"/>
    </font>
    <font>
      <sz val="12"/>
      <name val="Garamond"/>
      <family val="1"/>
    </font>
    <font>
      <sz val="9"/>
      <name val="Geneva"/>
      <family val="2"/>
    </font>
    <font>
      <sz val="10"/>
      <name val="Geneva"/>
    </font>
    <font>
      <b/>
      <sz val="10"/>
      <color indexed="12"/>
      <name val="Times New Roman"/>
      <family val="1"/>
    </font>
    <font>
      <i/>
      <sz val="9"/>
      <name val="Times New Roman"/>
      <family val="1"/>
    </font>
    <font>
      <sz val="7.2"/>
      <name val="Times New Roman"/>
      <family val="1"/>
    </font>
    <font>
      <sz val="11"/>
      <color theme="1"/>
      <name val="Calibri"/>
      <family val="2"/>
      <scheme val="minor"/>
    </font>
    <font>
      <sz val="9"/>
      <color theme="1"/>
      <name val="Times New Roman"/>
      <family val="1"/>
    </font>
    <font>
      <sz val="9"/>
      <color rgb="FFFF0000"/>
      <name val="Times New Roman"/>
      <family val="1"/>
    </font>
    <font>
      <b/>
      <sz val="9"/>
      <color rgb="FFFF0000"/>
      <name val="Times New Roman"/>
      <family val="1"/>
    </font>
    <font>
      <i/>
      <sz val="9"/>
      <name val="Geneva"/>
    </font>
    <font>
      <sz val="10"/>
      <name val="Garamond"/>
      <family val="1"/>
    </font>
    <font>
      <sz val="12"/>
      <color rgb="FFFF0000"/>
      <name val="Garamond"/>
      <family val="1"/>
    </font>
    <font>
      <b/>
      <sz val="9"/>
      <color rgb="FF00B050"/>
      <name val="Times New Roman"/>
      <family val="1"/>
    </font>
    <font>
      <b/>
      <sz val="9"/>
      <color rgb="FFFF0000"/>
      <name val="Geneva"/>
    </font>
    <font>
      <sz val="9"/>
      <color rgb="FFFF0000"/>
      <name val="Geneva"/>
    </font>
    <font>
      <i/>
      <sz val="9"/>
      <color rgb="FF7030A0"/>
      <name val="Geneva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59">
    <xf numFmtId="0" fontId="0" fillId="0" borderId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4" fontId="15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4" fontId="1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19" fillId="0" borderId="0"/>
    <xf numFmtId="0" fontId="14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" fillId="0" borderId="0"/>
    <xf numFmtId="0" fontId="2" fillId="0" borderId="0"/>
    <xf numFmtId="0" fontId="1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5" fillId="0" borderId="0"/>
    <xf numFmtId="0" fontId="2" fillId="0" borderId="0"/>
    <xf numFmtId="0" fontId="15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553">
    <xf numFmtId="0" fontId="0" fillId="0" borderId="0" xfId="0"/>
    <xf numFmtId="0" fontId="4" fillId="0" borderId="0" xfId="0" applyFont="1"/>
    <xf numFmtId="166" fontId="4" fillId="0" borderId="0" xfId="8" applyNumberFormat="1" applyFont="1"/>
    <xf numFmtId="14" fontId="4" fillId="0" borderId="0" xfId="0" applyNumberFormat="1" applyFont="1"/>
    <xf numFmtId="0" fontId="5" fillId="0" borderId="0" xfId="0" applyFont="1"/>
    <xf numFmtId="0" fontId="5" fillId="0" borderId="0" xfId="0" applyFont="1" applyAlignment="1">
      <alignment horizontal="center"/>
    </xf>
    <xf numFmtId="14" fontId="5" fillId="0" borderId="0" xfId="0" applyNumberFormat="1" applyFont="1" applyAlignment="1">
      <alignment horizontal="center"/>
    </xf>
    <xf numFmtId="14" fontId="5" fillId="0" borderId="0" xfId="0" applyNumberFormat="1" applyFont="1"/>
    <xf numFmtId="6" fontId="4" fillId="0" borderId="0" xfId="0" applyNumberFormat="1" applyFont="1"/>
    <xf numFmtId="164" fontId="4" fillId="0" borderId="0" xfId="0" applyNumberFormat="1" applyFont="1"/>
    <xf numFmtId="164" fontId="4" fillId="0" borderId="0" xfId="0" applyNumberFormat="1" applyFont="1" applyAlignment="1">
      <alignment horizontal="center"/>
    </xf>
    <xf numFmtId="14" fontId="4" fillId="0" borderId="0" xfId="0" applyNumberFormat="1" applyFont="1" applyAlignment="1">
      <alignment horizontal="center"/>
    </xf>
    <xf numFmtId="165" fontId="4" fillId="0" borderId="0" xfId="8" applyFont="1" applyAlignment="1">
      <alignment horizontal="center"/>
    </xf>
    <xf numFmtId="0" fontId="4" fillId="0" borderId="0" xfId="0" applyFont="1" applyAlignment="1">
      <alignment horizontal="center"/>
    </xf>
    <xf numFmtId="10" fontId="4" fillId="0" borderId="0" xfId="48" applyNumberFormat="1" applyFont="1"/>
    <xf numFmtId="10" fontId="4" fillId="0" borderId="0" xfId="48" applyNumberFormat="1" applyFont="1" applyAlignment="1">
      <alignment horizontal="center"/>
    </xf>
    <xf numFmtId="0" fontId="5" fillId="0" borderId="1" xfId="0" applyFont="1" applyBorder="1" applyAlignment="1">
      <alignment horizontal="left"/>
    </xf>
    <xf numFmtId="0" fontId="5" fillId="0" borderId="2" xfId="0" applyFont="1" applyBorder="1" applyAlignment="1">
      <alignment horizontal="center"/>
    </xf>
    <xf numFmtId="5" fontId="5" fillId="0" borderId="2" xfId="0" applyNumberFormat="1" applyFont="1" applyBorder="1" applyAlignment="1">
      <alignment horizontal="center"/>
    </xf>
    <xf numFmtId="164" fontId="4" fillId="0" borderId="2" xfId="8" applyNumberFormat="1" applyFont="1" applyBorder="1" applyAlignment="1">
      <alignment horizontal="center"/>
    </xf>
    <xf numFmtId="164" fontId="5" fillId="0" borderId="2" xfId="23" applyNumberFormat="1" applyFont="1" applyBorder="1" applyAlignment="1">
      <alignment horizontal="right"/>
    </xf>
    <xf numFmtId="5" fontId="4" fillId="0" borderId="2" xfId="0" applyNumberFormat="1" applyFont="1" applyBorder="1" applyAlignment="1">
      <alignment horizontal="center"/>
    </xf>
    <xf numFmtId="14" fontId="4" fillId="0" borderId="2" xfId="0" applyNumberFormat="1" applyFont="1" applyBorder="1" applyAlignment="1">
      <alignment horizontal="center"/>
    </xf>
    <xf numFmtId="14" fontId="5" fillId="0" borderId="3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5" fillId="0" borderId="4" xfId="0" applyFont="1" applyBorder="1" applyAlignment="1">
      <alignment horizontal="left"/>
    </xf>
    <xf numFmtId="5" fontId="5" fillId="0" borderId="0" xfId="0" applyNumberFormat="1" applyFont="1" applyAlignment="1">
      <alignment horizontal="center"/>
    </xf>
    <xf numFmtId="164" fontId="4" fillId="0" borderId="0" xfId="8" applyNumberFormat="1" applyFont="1" applyBorder="1" applyAlignment="1">
      <alignment horizontal="center"/>
    </xf>
    <xf numFmtId="164" fontId="5" fillId="0" borderId="0" xfId="23" applyNumberFormat="1" applyFont="1" applyBorder="1" applyAlignment="1">
      <alignment horizontal="right"/>
    </xf>
    <xf numFmtId="7" fontId="4" fillId="0" borderId="0" xfId="0" applyNumberFormat="1" applyFont="1" applyAlignment="1">
      <alignment horizontal="center"/>
    </xf>
    <xf numFmtId="14" fontId="5" fillId="0" borderId="5" xfId="0" applyNumberFormat="1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164" fontId="5" fillId="0" borderId="0" xfId="8" applyNumberFormat="1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164" fontId="4" fillId="0" borderId="0" xfId="8" applyNumberFormat="1" applyFont="1" applyAlignment="1">
      <alignment horizontal="center"/>
    </xf>
    <xf numFmtId="44" fontId="4" fillId="0" borderId="0" xfId="8" applyNumberFormat="1" applyFont="1" applyAlignment="1">
      <alignment horizontal="center"/>
    </xf>
    <xf numFmtId="5" fontId="4" fillId="0" borderId="0" xfId="0" applyNumberFormat="1" applyFont="1" applyAlignment="1">
      <alignment horizontal="center"/>
    </xf>
    <xf numFmtId="0" fontId="5" fillId="0" borderId="7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5" fontId="5" fillId="0" borderId="6" xfId="0" applyNumberFormat="1" applyFont="1" applyBorder="1" applyAlignment="1">
      <alignment horizontal="center"/>
    </xf>
    <xf numFmtId="14" fontId="5" fillId="0" borderId="6" xfId="0" applyNumberFormat="1" applyFont="1" applyBorder="1" applyAlignment="1">
      <alignment horizontal="center"/>
    </xf>
    <xf numFmtId="166" fontId="4" fillId="0" borderId="0" xfId="8" applyNumberFormat="1" applyFont="1" applyAlignment="1">
      <alignment horizontal="right"/>
    </xf>
    <xf numFmtId="166" fontId="4" fillId="0" borderId="0" xfId="8" applyNumberFormat="1" applyFont="1" applyBorder="1" applyAlignment="1">
      <alignment horizontal="right"/>
    </xf>
    <xf numFmtId="0" fontId="4" fillId="0" borderId="0" xfId="0" applyFont="1" applyAlignment="1">
      <alignment horizontal="left"/>
    </xf>
    <xf numFmtId="165" fontId="4" fillId="0" borderId="0" xfId="8" applyFont="1" applyBorder="1" applyAlignment="1">
      <alignment horizontal="center"/>
    </xf>
    <xf numFmtId="44" fontId="4" fillId="0" borderId="0" xfId="8" applyNumberFormat="1" applyFont="1" applyBorder="1" applyAlignment="1">
      <alignment horizontal="center"/>
    </xf>
    <xf numFmtId="165" fontId="5" fillId="0" borderId="0" xfId="8" applyFont="1" applyBorder="1" applyAlignment="1">
      <alignment horizontal="center"/>
    </xf>
    <xf numFmtId="44" fontId="5" fillId="0" borderId="0" xfId="8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44" fontId="4" fillId="0" borderId="0" xfId="0" applyNumberFormat="1" applyFont="1" applyAlignment="1">
      <alignment horizontal="center"/>
    </xf>
    <xf numFmtId="165" fontId="4" fillId="0" borderId="0" xfId="8" applyFont="1" applyBorder="1" applyAlignment="1">
      <alignment horizontal="right"/>
    </xf>
    <xf numFmtId="165" fontId="4" fillId="0" borderId="0" xfId="8" applyFont="1" applyAlignment="1">
      <alignment horizontal="right"/>
    </xf>
    <xf numFmtId="164" fontId="5" fillId="0" borderId="0" xfId="0" applyNumberFormat="1" applyFont="1" applyAlignment="1">
      <alignment horizontal="center"/>
    </xf>
    <xf numFmtId="166" fontId="4" fillId="0" borderId="0" xfId="8" applyNumberFormat="1" applyFont="1" applyBorder="1" applyAlignment="1">
      <alignment horizontal="center"/>
    </xf>
    <xf numFmtId="166" fontId="5" fillId="0" borderId="0" xfId="8" applyNumberFormat="1" applyFont="1" applyBorder="1" applyAlignment="1">
      <alignment horizontal="center"/>
    </xf>
    <xf numFmtId="164" fontId="5" fillId="0" borderId="6" xfId="8" applyNumberFormat="1" applyFont="1" applyBorder="1" applyAlignment="1">
      <alignment horizontal="center"/>
    </xf>
    <xf numFmtId="166" fontId="5" fillId="0" borderId="6" xfId="8" applyNumberFormat="1" applyFont="1" applyBorder="1" applyAlignment="1">
      <alignment horizontal="center"/>
    </xf>
    <xf numFmtId="166" fontId="4" fillId="0" borderId="0" xfId="8" applyNumberFormat="1" applyFont="1" applyAlignment="1">
      <alignment horizontal="center"/>
    </xf>
    <xf numFmtId="0" fontId="5" fillId="0" borderId="0" xfId="0" applyFont="1" applyAlignment="1">
      <alignment horizontal="right"/>
    </xf>
    <xf numFmtId="164" fontId="4" fillId="0" borderId="0" xfId="8" applyNumberFormat="1" applyFont="1" applyBorder="1" applyAlignment="1">
      <alignment horizontal="right"/>
    </xf>
    <xf numFmtId="164" fontId="4" fillId="0" borderId="0" xfId="8" applyNumberFormat="1" applyFont="1" applyAlignment="1">
      <alignment horizontal="right"/>
    </xf>
    <xf numFmtId="6" fontId="4" fillId="0" borderId="0" xfId="0" applyNumberFormat="1" applyFont="1" applyAlignment="1">
      <alignment horizontal="center"/>
    </xf>
    <xf numFmtId="42" fontId="5" fillId="0" borderId="0" xfId="8" applyNumberFormat="1" applyFont="1" applyAlignment="1">
      <alignment horizontal="right"/>
    </xf>
    <xf numFmtId="164" fontId="4" fillId="0" borderId="0" xfId="0" applyNumberFormat="1" applyFont="1" applyAlignment="1">
      <alignment horizontal="right"/>
    </xf>
    <xf numFmtId="164" fontId="5" fillId="0" borderId="0" xfId="0" applyNumberFormat="1" applyFont="1" applyAlignment="1">
      <alignment horizontal="right"/>
    </xf>
    <xf numFmtId="42" fontId="4" fillId="0" borderId="0" xfId="8" applyNumberFormat="1" applyFont="1" applyAlignment="1">
      <alignment horizontal="center"/>
    </xf>
    <xf numFmtId="42" fontId="4" fillId="0" borderId="0" xfId="8" applyNumberFormat="1" applyFont="1" applyBorder="1" applyAlignment="1">
      <alignment horizontal="center"/>
    </xf>
    <xf numFmtId="42" fontId="4" fillId="0" borderId="0" xfId="0" applyNumberFormat="1" applyFont="1" applyAlignment="1">
      <alignment horizontal="center"/>
    </xf>
    <xf numFmtId="164" fontId="4" fillId="0" borderId="9" xfId="8" applyNumberFormat="1" applyFont="1" applyBorder="1" applyAlignment="1">
      <alignment horizontal="center"/>
    </xf>
    <xf numFmtId="42" fontId="5" fillId="0" borderId="0" xfId="0" applyNumberFormat="1" applyFont="1" applyAlignment="1">
      <alignment horizontal="center"/>
    </xf>
    <xf numFmtId="164" fontId="5" fillId="0" borderId="2" xfId="23" applyNumberFormat="1" applyFont="1" applyBorder="1" applyAlignment="1">
      <alignment horizontal="center"/>
    </xf>
    <xf numFmtId="164" fontId="4" fillId="0" borderId="0" xfId="23" applyNumberFormat="1" applyFont="1" applyBorder="1" applyAlignment="1">
      <alignment horizontal="center"/>
    </xf>
    <xf numFmtId="14" fontId="4" fillId="0" borderId="5" xfId="0" applyNumberFormat="1" applyFont="1" applyBorder="1" applyAlignment="1">
      <alignment horizontal="center"/>
    </xf>
    <xf numFmtId="164" fontId="5" fillId="0" borderId="0" xfId="23" applyNumberFormat="1" applyFont="1" applyBorder="1" applyAlignment="1">
      <alignment horizontal="center"/>
    </xf>
    <xf numFmtId="164" fontId="5" fillId="0" borderId="6" xfId="23" applyNumberFormat="1" applyFont="1" applyBorder="1" applyAlignment="1">
      <alignment horizontal="center"/>
    </xf>
    <xf numFmtId="42" fontId="5" fillId="0" borderId="0" xfId="0" applyNumberFormat="1" applyFont="1"/>
    <xf numFmtId="42" fontId="4" fillId="0" borderId="0" xfId="0" applyNumberFormat="1" applyFont="1"/>
    <xf numFmtId="164" fontId="5" fillId="0" borderId="9" xfId="0" applyNumberFormat="1" applyFont="1" applyBorder="1"/>
    <xf numFmtId="4" fontId="4" fillId="0" borderId="0" xfId="0" applyNumberFormat="1" applyFont="1" applyAlignment="1">
      <alignment horizontal="center"/>
    </xf>
    <xf numFmtId="4" fontId="5" fillId="0" borderId="0" xfId="0" applyNumberFormat="1" applyFont="1" applyAlignment="1">
      <alignment horizontal="center"/>
    </xf>
    <xf numFmtId="8" fontId="4" fillId="0" borderId="0" xfId="0" applyNumberFormat="1" applyFont="1" applyAlignment="1">
      <alignment horizontal="center"/>
    </xf>
    <xf numFmtId="42" fontId="4" fillId="0" borderId="9" xfId="0" applyNumberFormat="1" applyFont="1" applyBorder="1"/>
    <xf numFmtId="44" fontId="4" fillId="0" borderId="0" xfId="0" applyNumberFormat="1" applyFont="1" applyAlignment="1">
      <alignment horizontal="right"/>
    </xf>
    <xf numFmtId="44" fontId="4" fillId="0" borderId="0" xfId="0" applyNumberFormat="1" applyFont="1"/>
    <xf numFmtId="42" fontId="5" fillId="0" borderId="0" xfId="8" applyNumberFormat="1" applyFont="1" applyBorder="1" applyAlignment="1">
      <alignment horizontal="center"/>
    </xf>
    <xf numFmtId="164" fontId="4" fillId="0" borderId="9" xfId="0" applyNumberFormat="1" applyFont="1" applyBorder="1" applyAlignment="1">
      <alignment horizontal="right"/>
    </xf>
    <xf numFmtId="5" fontId="4" fillId="0" borderId="0" xfId="8" applyNumberFormat="1" applyFont="1" applyBorder="1" applyAlignment="1">
      <alignment horizontal="center"/>
    </xf>
    <xf numFmtId="0" fontId="4" fillId="0" borderId="10" xfId="0" applyFont="1" applyBorder="1"/>
    <xf numFmtId="20" fontId="4" fillId="0" borderId="0" xfId="0" applyNumberFormat="1" applyFont="1"/>
    <xf numFmtId="5" fontId="5" fillId="0" borderId="11" xfId="0" applyNumberFormat="1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4" fontId="5" fillId="0" borderId="11" xfId="0" applyNumberFormat="1" applyFont="1" applyBorder="1" applyAlignment="1">
      <alignment horizontal="center"/>
    </xf>
    <xf numFmtId="14" fontId="5" fillId="0" borderId="11" xfId="0" applyNumberFormat="1" applyFont="1" applyBorder="1" applyAlignment="1">
      <alignment horizontal="center"/>
    </xf>
    <xf numFmtId="14" fontId="4" fillId="0" borderId="0" xfId="0" applyNumberFormat="1" applyFont="1" applyAlignment="1">
      <alignment horizontal="left"/>
    </xf>
    <xf numFmtId="14" fontId="4" fillId="0" borderId="0" xfId="8" applyNumberFormat="1" applyFont="1" applyAlignment="1">
      <alignment horizontal="left"/>
    </xf>
    <xf numFmtId="165" fontId="4" fillId="0" borderId="0" xfId="0" applyNumberFormat="1" applyFont="1" applyAlignment="1">
      <alignment horizontal="center"/>
    </xf>
    <xf numFmtId="42" fontId="5" fillId="0" borderId="0" xfId="0" applyNumberFormat="1" applyFont="1" applyAlignment="1">
      <alignment horizontal="right"/>
    </xf>
    <xf numFmtId="9" fontId="4" fillId="0" borderId="0" xfId="48" applyFont="1"/>
    <xf numFmtId="43" fontId="4" fillId="0" borderId="0" xfId="1" applyFont="1" applyAlignment="1">
      <alignment horizontal="center"/>
    </xf>
    <xf numFmtId="8" fontId="7" fillId="0" borderId="0" xfId="0" applyNumberFormat="1" applyFont="1"/>
    <xf numFmtId="0" fontId="7" fillId="0" borderId="0" xfId="0" applyFont="1"/>
    <xf numFmtId="10" fontId="4" fillId="0" borderId="0" xfId="0" applyNumberFormat="1" applyFont="1" applyAlignment="1">
      <alignment horizontal="center"/>
    </xf>
    <xf numFmtId="0" fontId="9" fillId="0" borderId="2" xfId="0" applyFont="1" applyBorder="1" applyAlignment="1">
      <alignment horizontal="center"/>
    </xf>
    <xf numFmtId="0" fontId="8" fillId="0" borderId="0" xfId="0" applyFont="1" applyAlignment="1">
      <alignment horizontal="center"/>
    </xf>
    <xf numFmtId="164" fontId="9" fillId="0" borderId="0" xfId="8" applyNumberFormat="1" applyFont="1" applyBorder="1" applyAlignment="1">
      <alignment horizontal="center"/>
    </xf>
    <xf numFmtId="0" fontId="9" fillId="0" borderId="0" xfId="0" applyFont="1" applyAlignment="1">
      <alignment horizontal="center"/>
    </xf>
    <xf numFmtId="14" fontId="8" fillId="0" borderId="5" xfId="0" applyNumberFormat="1" applyFont="1" applyBorder="1" applyAlignment="1">
      <alignment horizontal="center"/>
    </xf>
    <xf numFmtId="14" fontId="8" fillId="0" borderId="8" xfId="0" applyNumberFormat="1" applyFont="1" applyBorder="1" applyAlignment="1">
      <alignment horizontal="center"/>
    </xf>
    <xf numFmtId="14" fontId="8" fillId="0" borderId="0" xfId="0" applyNumberFormat="1" applyFont="1" applyAlignment="1">
      <alignment horizontal="center"/>
    </xf>
    <xf numFmtId="14" fontId="9" fillId="0" borderId="0" xfId="0" applyNumberFormat="1" applyFont="1" applyAlignment="1">
      <alignment horizontal="center"/>
    </xf>
    <xf numFmtId="164" fontId="9" fillId="0" borderId="0" xfId="8" applyNumberFormat="1" applyFont="1" applyAlignment="1">
      <alignment horizontal="center"/>
    </xf>
    <xf numFmtId="0" fontId="9" fillId="0" borderId="0" xfId="0" applyFont="1" applyAlignment="1">
      <alignment horizontal="left"/>
    </xf>
    <xf numFmtId="44" fontId="9" fillId="0" borderId="0" xfId="8" applyNumberFormat="1" applyFont="1" applyAlignment="1">
      <alignment horizontal="center"/>
    </xf>
    <xf numFmtId="9" fontId="4" fillId="0" borderId="2" xfId="48" applyFont="1" applyBorder="1" applyAlignment="1">
      <alignment horizontal="center"/>
    </xf>
    <xf numFmtId="9" fontId="4" fillId="0" borderId="0" xfId="48" applyFont="1" applyBorder="1" applyAlignment="1">
      <alignment horizontal="center"/>
    </xf>
    <xf numFmtId="9" fontId="5" fillId="0" borderId="0" xfId="48" applyFont="1" applyBorder="1" applyAlignment="1">
      <alignment horizontal="center"/>
    </xf>
    <xf numFmtId="9" fontId="5" fillId="0" borderId="6" xfId="48" applyFont="1" applyBorder="1" applyAlignment="1">
      <alignment horizontal="center"/>
    </xf>
    <xf numFmtId="43" fontId="4" fillId="0" borderId="0" xfId="0" applyNumberFormat="1" applyFont="1" applyAlignment="1">
      <alignment horizontal="center"/>
    </xf>
    <xf numFmtId="4" fontId="12" fillId="0" borderId="0" xfId="0" applyNumberFormat="1" applyFont="1"/>
    <xf numFmtId="170" fontId="4" fillId="0" borderId="2" xfId="23" applyNumberFormat="1" applyFont="1" applyBorder="1" applyAlignment="1">
      <alignment horizontal="center"/>
    </xf>
    <xf numFmtId="170" fontId="4" fillId="0" borderId="0" xfId="23" applyNumberFormat="1" applyFont="1" applyBorder="1" applyAlignment="1">
      <alignment horizontal="center"/>
    </xf>
    <xf numFmtId="170" fontId="5" fillId="0" borderId="0" xfId="23" applyNumberFormat="1" applyFont="1" applyBorder="1" applyAlignment="1">
      <alignment horizontal="center"/>
    </xf>
    <xf numFmtId="170" fontId="4" fillId="0" borderId="0" xfId="0" applyNumberFormat="1" applyFont="1"/>
    <xf numFmtId="7" fontId="4" fillId="0" borderId="2" xfId="0" applyNumberFormat="1" applyFont="1" applyBorder="1" applyAlignment="1">
      <alignment horizontal="center"/>
    </xf>
    <xf numFmtId="164" fontId="5" fillId="0" borderId="0" xfId="0" applyNumberFormat="1" applyFont="1"/>
    <xf numFmtId="10" fontId="4" fillId="0" borderId="0" xfId="48" applyNumberFormat="1" applyFont="1" applyBorder="1" applyAlignment="1">
      <alignment horizontal="center"/>
    </xf>
    <xf numFmtId="166" fontId="5" fillId="0" borderId="0" xfId="8" applyNumberFormat="1" applyFont="1" applyBorder="1" applyAlignment="1">
      <alignment horizontal="right"/>
    </xf>
    <xf numFmtId="167" fontId="4" fillId="0" borderId="0" xfId="0" applyNumberFormat="1" applyFont="1" applyAlignment="1">
      <alignment horizontal="center"/>
    </xf>
    <xf numFmtId="14" fontId="6" fillId="0" borderId="0" xfId="0" applyNumberFormat="1" applyFont="1" applyAlignment="1">
      <alignment horizontal="center"/>
    </xf>
    <xf numFmtId="42" fontId="4" fillId="0" borderId="2" xfId="8" applyNumberFormat="1" applyFont="1" applyBorder="1" applyAlignment="1">
      <alignment horizontal="center"/>
    </xf>
    <xf numFmtId="42" fontId="5" fillId="0" borderId="6" xfId="8" applyNumberFormat="1" applyFont="1" applyBorder="1" applyAlignment="1">
      <alignment horizontal="center"/>
    </xf>
    <xf numFmtId="0" fontId="4" fillId="0" borderId="2" xfId="0" applyFont="1" applyBorder="1"/>
    <xf numFmtId="165" fontId="4" fillId="0" borderId="0" xfId="8" applyFont="1" applyAlignment="1">
      <alignment horizontal="left"/>
    </xf>
    <xf numFmtId="0" fontId="4" fillId="0" borderId="0" xfId="0" applyFont="1" applyAlignment="1">
      <alignment horizontal="right"/>
    </xf>
    <xf numFmtId="172" fontId="4" fillId="0" borderId="0" xfId="8" applyNumberFormat="1" applyFont="1" applyAlignment="1">
      <alignment horizontal="center"/>
    </xf>
    <xf numFmtId="173" fontId="4" fillId="0" borderId="0" xfId="8" applyNumberFormat="1" applyFont="1" applyAlignment="1">
      <alignment horizontal="center"/>
    </xf>
    <xf numFmtId="0" fontId="4" fillId="0" borderId="4" xfId="0" applyFont="1" applyBorder="1" applyAlignment="1">
      <alignment horizontal="left"/>
    </xf>
    <xf numFmtId="0" fontId="4" fillId="0" borderId="4" xfId="0" applyFont="1" applyBorder="1" applyAlignment="1">
      <alignment horizontal="center"/>
    </xf>
    <xf numFmtId="5" fontId="4" fillId="0" borderId="0" xfId="0" applyNumberFormat="1" applyFont="1"/>
    <xf numFmtId="164" fontId="4" fillId="0" borderId="13" xfId="8" applyNumberFormat="1" applyFont="1" applyBorder="1" applyAlignment="1">
      <alignment horizontal="center"/>
    </xf>
    <xf numFmtId="166" fontId="4" fillId="0" borderId="0" xfId="0" applyNumberFormat="1" applyFont="1"/>
    <xf numFmtId="164" fontId="9" fillId="0" borderId="0" xfId="8" applyNumberFormat="1" applyFont="1" applyAlignment="1"/>
    <xf numFmtId="14" fontId="5" fillId="0" borderId="0" xfId="0" applyNumberFormat="1" applyFont="1" applyAlignment="1">
      <alignment horizontal="left"/>
    </xf>
    <xf numFmtId="169" fontId="4" fillId="0" borderId="0" xfId="48" applyNumberFormat="1" applyFont="1"/>
    <xf numFmtId="44" fontId="5" fillId="0" borderId="0" xfId="0" applyNumberFormat="1" applyFont="1"/>
    <xf numFmtId="169" fontId="4" fillId="0" borderId="0" xfId="48" applyNumberFormat="1" applyFont="1" applyAlignment="1">
      <alignment horizontal="center"/>
    </xf>
    <xf numFmtId="169" fontId="9" fillId="0" borderId="0" xfId="48" applyNumberFormat="1" applyFont="1" applyAlignment="1">
      <alignment horizontal="center"/>
    </xf>
    <xf numFmtId="164" fontId="5" fillId="0" borderId="0" xfId="0" applyNumberFormat="1" applyFont="1" applyAlignment="1">
      <alignment horizontal="left"/>
    </xf>
    <xf numFmtId="5" fontId="4" fillId="0" borderId="0" xfId="0" applyNumberFormat="1" applyFont="1" applyAlignment="1">
      <alignment horizontal="left"/>
    </xf>
    <xf numFmtId="42" fontId="4" fillId="0" borderId="0" xfId="0" applyNumberFormat="1" applyFont="1" applyAlignment="1">
      <alignment horizontal="right"/>
    </xf>
    <xf numFmtId="0" fontId="5" fillId="0" borderId="15" xfId="0" applyFont="1" applyBorder="1" applyAlignment="1">
      <alignment horizontal="left"/>
    </xf>
    <xf numFmtId="175" fontId="4" fillId="0" borderId="0" xfId="1" applyNumberFormat="1" applyFont="1" applyAlignment="1">
      <alignment horizontal="center"/>
    </xf>
    <xf numFmtId="14" fontId="4" fillId="0" borderId="0" xfId="0" applyNumberFormat="1" applyFont="1" applyAlignment="1">
      <alignment horizontal="right"/>
    </xf>
    <xf numFmtId="0" fontId="10" fillId="0" borderId="4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1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/>
    </xf>
    <xf numFmtId="5" fontId="10" fillId="0" borderId="6" xfId="0" applyNumberFormat="1" applyFont="1" applyBorder="1" applyAlignment="1">
      <alignment horizontal="center"/>
    </xf>
    <xf numFmtId="5" fontId="10" fillId="0" borderId="6" xfId="0" applyNumberFormat="1" applyFont="1" applyBorder="1" applyAlignment="1">
      <alignment horizontal="left"/>
    </xf>
    <xf numFmtId="0" fontId="16" fillId="0" borderId="1" xfId="0" applyFont="1" applyBorder="1"/>
    <xf numFmtId="0" fontId="11" fillId="0" borderId="2" xfId="0" applyFont="1" applyBorder="1"/>
    <xf numFmtId="42" fontId="11" fillId="0" borderId="2" xfId="0" applyNumberFormat="1" applyFont="1" applyBorder="1"/>
    <xf numFmtId="0" fontId="5" fillId="0" borderId="16" xfId="0" applyFont="1" applyBorder="1"/>
    <xf numFmtId="166" fontId="10" fillId="0" borderId="2" xfId="8" applyNumberFormat="1" applyFont="1" applyBorder="1"/>
    <xf numFmtId="168" fontId="4" fillId="0" borderId="0" xfId="8" applyNumberFormat="1" applyFont="1" applyAlignment="1">
      <alignment horizontal="center"/>
    </xf>
    <xf numFmtId="42" fontId="4" fillId="0" borderId="0" xfId="8" applyNumberFormat="1" applyFont="1" applyBorder="1"/>
    <xf numFmtId="174" fontId="4" fillId="0" borderId="0" xfId="0" applyNumberFormat="1" applyFont="1" applyAlignment="1">
      <alignment horizontal="left"/>
    </xf>
    <xf numFmtId="165" fontId="4" fillId="0" borderId="0" xfId="8" applyFont="1"/>
    <xf numFmtId="165" fontId="4" fillId="0" borderId="0" xfId="0" applyNumberFormat="1" applyFont="1"/>
    <xf numFmtId="0" fontId="5" fillId="0" borderId="16" xfId="0" applyFont="1" applyBorder="1" applyAlignment="1">
      <alignment horizontal="left" vertical="center"/>
    </xf>
    <xf numFmtId="0" fontId="11" fillId="0" borderId="0" xfId="0" applyFont="1" applyAlignment="1">
      <alignment horizontal="center"/>
    </xf>
    <xf numFmtId="175" fontId="4" fillId="0" borderId="0" xfId="1" applyNumberFormat="1" applyFont="1"/>
    <xf numFmtId="164" fontId="5" fillId="0" borderId="8" xfId="0" applyNumberFormat="1" applyFont="1" applyBorder="1" applyAlignment="1">
      <alignment horizontal="center"/>
    </xf>
    <xf numFmtId="42" fontId="11" fillId="0" borderId="2" xfId="0" applyNumberFormat="1" applyFont="1" applyBorder="1" applyAlignment="1">
      <alignment horizontal="right"/>
    </xf>
    <xf numFmtId="0" fontId="11" fillId="0" borderId="2" xfId="0" applyFont="1" applyBorder="1" applyAlignment="1">
      <alignment horizontal="right"/>
    </xf>
    <xf numFmtId="166" fontId="11" fillId="0" borderId="2" xfId="8" applyNumberFormat="1" applyFont="1" applyBorder="1" applyAlignment="1">
      <alignment horizontal="right"/>
    </xf>
    <xf numFmtId="42" fontId="10" fillId="0" borderId="0" xfId="8" applyNumberFormat="1" applyFont="1" applyBorder="1" applyAlignment="1">
      <alignment horizontal="right"/>
    </xf>
    <xf numFmtId="166" fontId="10" fillId="0" borderId="0" xfId="8" applyNumberFormat="1" applyFont="1" applyBorder="1" applyAlignment="1">
      <alignment horizontal="right"/>
    </xf>
    <xf numFmtId="42" fontId="10" fillId="0" borderId="6" xfId="8" applyNumberFormat="1" applyFont="1" applyBorder="1" applyAlignment="1">
      <alignment horizontal="right"/>
    </xf>
    <xf numFmtId="14" fontId="10" fillId="0" borderId="6" xfId="0" applyNumberFormat="1" applyFont="1" applyBorder="1" applyAlignment="1">
      <alignment horizontal="right"/>
    </xf>
    <xf numFmtId="166" fontId="10" fillId="0" borderId="6" xfId="8" applyNumberFormat="1" applyFont="1" applyBorder="1" applyAlignment="1">
      <alignment horizontal="right"/>
    </xf>
    <xf numFmtId="0" fontId="4" fillId="0" borderId="2" xfId="0" applyFont="1" applyBorder="1" applyAlignment="1">
      <alignment horizontal="right"/>
    </xf>
    <xf numFmtId="1" fontId="10" fillId="0" borderId="6" xfId="8" applyNumberFormat="1" applyFont="1" applyBorder="1" applyAlignment="1">
      <alignment horizontal="right"/>
    </xf>
    <xf numFmtId="42" fontId="10" fillId="0" borderId="6" xfId="0" applyNumberFormat="1" applyFont="1" applyBorder="1" applyAlignment="1">
      <alignment horizontal="right"/>
    </xf>
    <xf numFmtId="14" fontId="5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0" fontId="1" fillId="0" borderId="0" xfId="0" applyFont="1"/>
    <xf numFmtId="43" fontId="4" fillId="0" borderId="0" xfId="1" applyFont="1"/>
    <xf numFmtId="164" fontId="4" fillId="0" borderId="0" xfId="23" applyNumberFormat="1" applyFont="1" applyBorder="1" applyAlignment="1">
      <alignment horizontal="right"/>
    </xf>
    <xf numFmtId="166" fontId="5" fillId="0" borderId="0" xfId="8" applyNumberFormat="1" applyFont="1" applyBorder="1"/>
    <xf numFmtId="176" fontId="4" fillId="0" borderId="0" xfId="0" applyNumberFormat="1" applyFont="1" applyAlignment="1">
      <alignment horizontal="center"/>
    </xf>
    <xf numFmtId="175" fontId="4" fillId="0" borderId="0" xfId="1" applyNumberFormat="1" applyFont="1" applyBorder="1"/>
    <xf numFmtId="166" fontId="4" fillId="0" borderId="0" xfId="48" applyNumberFormat="1" applyFont="1"/>
    <xf numFmtId="164" fontId="0" fillId="0" borderId="0" xfId="0" applyNumberFormat="1"/>
    <xf numFmtId="164" fontId="5" fillId="0" borderId="9" xfId="0" applyNumberFormat="1" applyFont="1" applyBorder="1" applyAlignment="1">
      <alignment horizontal="right"/>
    </xf>
    <xf numFmtId="164" fontId="4" fillId="0" borderId="0" xfId="48" applyNumberFormat="1" applyFont="1"/>
    <xf numFmtId="0" fontId="4" fillId="0" borderId="17" xfId="0" applyFont="1" applyBorder="1"/>
    <xf numFmtId="0" fontId="4" fillId="0" borderId="18" xfId="0" applyFont="1" applyBorder="1"/>
    <xf numFmtId="44" fontId="0" fillId="0" borderId="0" xfId="0" applyNumberFormat="1"/>
    <xf numFmtId="164" fontId="5" fillId="0" borderId="19" xfId="0" applyNumberFormat="1" applyFont="1" applyBorder="1" applyAlignment="1">
      <alignment horizontal="right"/>
    </xf>
    <xf numFmtId="14" fontId="0" fillId="0" borderId="0" xfId="0" applyNumberFormat="1"/>
    <xf numFmtId="2" fontId="6" fillId="0" borderId="0" xfId="0" applyNumberFormat="1" applyFont="1" applyAlignment="1">
      <alignment horizontal="center"/>
    </xf>
    <xf numFmtId="0" fontId="20" fillId="0" borderId="0" xfId="0" applyFont="1"/>
    <xf numFmtId="43" fontId="5" fillId="0" borderId="2" xfId="1" applyFont="1" applyBorder="1" applyAlignment="1">
      <alignment horizontal="center"/>
    </xf>
    <xf numFmtId="175" fontId="0" fillId="0" borderId="0" xfId="1" applyNumberFormat="1" applyFont="1"/>
    <xf numFmtId="44" fontId="5" fillId="0" borderId="0" xfId="23" applyFont="1" applyBorder="1" applyAlignment="1">
      <alignment horizontal="center"/>
    </xf>
    <xf numFmtId="171" fontId="5" fillId="0" borderId="0" xfId="48" applyNumberFormat="1" applyFont="1" applyAlignment="1">
      <alignment horizontal="center"/>
    </xf>
    <xf numFmtId="177" fontId="5" fillId="0" borderId="0" xfId="48" applyNumberFormat="1" applyFont="1" applyAlignment="1">
      <alignment horizontal="center"/>
    </xf>
    <xf numFmtId="171" fontId="4" fillId="0" borderId="0" xfId="48" applyNumberFormat="1" applyFont="1" applyAlignment="1">
      <alignment horizontal="center"/>
    </xf>
    <xf numFmtId="177" fontId="4" fillId="0" borderId="0" xfId="48" applyNumberFormat="1" applyFont="1" applyAlignment="1">
      <alignment horizontal="center"/>
    </xf>
    <xf numFmtId="0" fontId="21" fillId="0" borderId="0" xfId="0" applyFont="1" applyAlignment="1">
      <alignment horizontal="left"/>
    </xf>
    <xf numFmtId="164" fontId="5" fillId="0" borderId="0" xfId="8" applyNumberFormat="1" applyFont="1" applyBorder="1" applyAlignment="1">
      <alignment horizontal="right"/>
    </xf>
    <xf numFmtId="0" fontId="5" fillId="0" borderId="0" xfId="8" applyNumberFormat="1" applyFont="1" applyAlignment="1">
      <alignment horizontal="center"/>
    </xf>
    <xf numFmtId="166" fontId="5" fillId="0" borderId="0" xfId="8" applyNumberFormat="1" applyFont="1" applyAlignment="1">
      <alignment horizontal="center"/>
    </xf>
    <xf numFmtId="0" fontId="5" fillId="0" borderId="1" xfId="0" applyFont="1" applyBorder="1" applyAlignment="1">
      <alignment horizontal="right"/>
    </xf>
    <xf numFmtId="164" fontId="5" fillId="0" borderId="2" xfId="0" applyNumberFormat="1" applyFont="1" applyBorder="1" applyAlignment="1">
      <alignment horizontal="right"/>
    </xf>
    <xf numFmtId="42" fontId="5" fillId="0" borderId="2" xfId="0" applyNumberFormat="1" applyFont="1" applyBorder="1" applyAlignment="1">
      <alignment horizontal="right"/>
    </xf>
    <xf numFmtId="6" fontId="5" fillId="0" borderId="2" xfId="0" applyNumberFormat="1" applyFont="1" applyBorder="1" applyAlignment="1">
      <alignment horizontal="right"/>
    </xf>
    <xf numFmtId="168" fontId="5" fillId="0" borderId="2" xfId="0" applyNumberFormat="1" applyFont="1" applyBorder="1" applyAlignment="1">
      <alignment horizontal="right"/>
    </xf>
    <xf numFmtId="44" fontId="5" fillId="0" borderId="2" xfId="0" applyNumberFormat="1" applyFont="1" applyBorder="1" applyAlignment="1">
      <alignment horizontal="right"/>
    </xf>
    <xf numFmtId="42" fontId="4" fillId="0" borderId="2" xfId="0" applyNumberFormat="1" applyFont="1" applyBorder="1" applyAlignment="1">
      <alignment horizontal="right"/>
    </xf>
    <xf numFmtId="42" fontId="4" fillId="0" borderId="2" xfId="8" applyNumberFormat="1" applyFont="1" applyBorder="1"/>
    <xf numFmtId="42" fontId="4" fillId="0" borderId="3" xfId="8" applyNumberFormat="1" applyFont="1" applyBorder="1"/>
    <xf numFmtId="42" fontId="4" fillId="0" borderId="3" xfId="0" applyNumberFormat="1" applyFont="1" applyBorder="1"/>
    <xf numFmtId="0" fontId="5" fillId="0" borderId="4" xfId="0" applyFont="1" applyBorder="1" applyAlignment="1">
      <alignment horizontal="right"/>
    </xf>
    <xf numFmtId="42" fontId="4" fillId="0" borderId="5" xfId="8" applyNumberFormat="1" applyFont="1" applyBorder="1"/>
    <xf numFmtId="42" fontId="4" fillId="0" borderId="5" xfId="0" applyNumberFormat="1" applyFont="1" applyBorder="1"/>
    <xf numFmtId="0" fontId="5" fillId="0" borderId="7" xfId="0" applyFont="1" applyBorder="1" applyAlignment="1">
      <alignment horizontal="right"/>
    </xf>
    <xf numFmtId="164" fontId="5" fillId="0" borderId="6" xfId="0" applyNumberFormat="1" applyFont="1" applyBorder="1" applyAlignment="1">
      <alignment horizontal="right"/>
    </xf>
    <xf numFmtId="42" fontId="5" fillId="0" borderId="6" xfId="0" applyNumberFormat="1" applyFont="1" applyBorder="1" applyAlignment="1">
      <alignment horizontal="right"/>
    </xf>
    <xf numFmtId="42" fontId="5" fillId="0" borderId="20" xfId="0" applyNumberFormat="1" applyFont="1" applyBorder="1" applyAlignment="1">
      <alignment horizontal="right"/>
    </xf>
    <xf numFmtId="44" fontId="5" fillId="0" borderId="20" xfId="0" applyNumberFormat="1" applyFont="1" applyBorder="1" applyAlignment="1">
      <alignment horizontal="right"/>
    </xf>
    <xf numFmtId="164" fontId="5" fillId="0" borderId="20" xfId="0" applyNumberFormat="1" applyFont="1" applyBorder="1" applyAlignment="1">
      <alignment horizontal="right"/>
    </xf>
    <xf numFmtId="164" fontId="4" fillId="0" borderId="20" xfId="8" applyNumberFormat="1" applyFont="1" applyBorder="1"/>
    <xf numFmtId="42" fontId="4" fillId="0" borderId="20" xfId="8" applyNumberFormat="1" applyFont="1" applyBorder="1"/>
    <xf numFmtId="42" fontId="4" fillId="0" borderId="21" xfId="8" applyNumberFormat="1" applyFont="1" applyBorder="1"/>
    <xf numFmtId="169" fontId="5" fillId="0" borderId="0" xfId="48" applyNumberFormat="1" applyFont="1" applyBorder="1" applyAlignment="1">
      <alignment horizontal="right"/>
    </xf>
    <xf numFmtId="10" fontId="5" fillId="0" borderId="0" xfId="48" applyNumberFormat="1" applyFont="1" applyBorder="1" applyAlignment="1">
      <alignment horizontal="right"/>
    </xf>
    <xf numFmtId="42" fontId="4" fillId="0" borderId="22" xfId="0" applyNumberFormat="1" applyFont="1" applyBorder="1"/>
    <xf numFmtId="0" fontId="4" fillId="0" borderId="4" xfId="0" applyFont="1" applyBorder="1" applyAlignment="1">
      <alignment horizontal="right"/>
    </xf>
    <xf numFmtId="42" fontId="4" fillId="0" borderId="22" xfId="8" applyNumberFormat="1" applyFont="1" applyBorder="1"/>
    <xf numFmtId="44" fontId="4" fillId="0" borderId="0" xfId="8" applyNumberFormat="1" applyFont="1" applyBorder="1" applyAlignment="1">
      <alignment horizontal="right"/>
    </xf>
    <xf numFmtId="0" fontId="4" fillId="0" borderId="4" xfId="0" applyFont="1" applyBorder="1"/>
    <xf numFmtId="42" fontId="17" fillId="0" borderId="0" xfId="8" applyNumberFormat="1" applyFont="1" applyBorder="1"/>
    <xf numFmtId="0" fontId="4" fillId="0" borderId="23" xfId="0" applyFont="1" applyBorder="1"/>
    <xf numFmtId="42" fontId="4" fillId="0" borderId="20" xfId="0" applyNumberFormat="1" applyFont="1" applyBorder="1"/>
    <xf numFmtId="42" fontId="4" fillId="0" borderId="21" xfId="0" applyNumberFormat="1" applyFont="1" applyBorder="1"/>
    <xf numFmtId="42" fontId="4" fillId="0" borderId="12" xfId="0" applyNumberFormat="1" applyFont="1" applyBorder="1"/>
    <xf numFmtId="42" fontId="4" fillId="0" borderId="24" xfId="0" applyNumberFormat="1" applyFont="1" applyBorder="1"/>
    <xf numFmtId="42" fontId="0" fillId="0" borderId="0" xfId="0" applyNumberFormat="1"/>
    <xf numFmtId="164" fontId="7" fillId="0" borderId="0" xfId="0" applyNumberFormat="1" applyFont="1"/>
    <xf numFmtId="168" fontId="4" fillId="0" borderId="0" xfId="0" applyNumberFormat="1" applyFont="1"/>
    <xf numFmtId="42" fontId="4" fillId="0" borderId="0" xfId="48" applyNumberFormat="1" applyFont="1"/>
    <xf numFmtId="0" fontId="18" fillId="0" borderId="0" xfId="0" applyFont="1"/>
    <xf numFmtId="42" fontId="4" fillId="0" borderId="9" xfId="48" applyNumberFormat="1" applyFont="1" applyBorder="1"/>
    <xf numFmtId="169" fontId="4" fillId="0" borderId="9" xfId="48" applyNumberFormat="1" applyFont="1" applyBorder="1"/>
    <xf numFmtId="8" fontId="18" fillId="0" borderId="0" xfId="0" applyNumberFormat="1" applyFont="1"/>
    <xf numFmtId="8" fontId="4" fillId="0" borderId="0" xfId="0" applyNumberFormat="1" applyFont="1"/>
    <xf numFmtId="42" fontId="0" fillId="0" borderId="0" xfId="8" applyNumberFormat="1" applyFont="1"/>
    <xf numFmtId="165" fontId="0" fillId="0" borderId="0" xfId="8" applyFont="1"/>
    <xf numFmtId="175" fontId="5" fillId="0" borderId="0" xfId="1" applyNumberFormat="1" applyFont="1" applyBorder="1" applyAlignment="1">
      <alignment horizontal="center"/>
    </xf>
    <xf numFmtId="175" fontId="5" fillId="0" borderId="0" xfId="0" applyNumberFormat="1" applyFont="1"/>
    <xf numFmtId="175" fontId="5" fillId="0" borderId="0" xfId="0" applyNumberFormat="1" applyFont="1" applyAlignment="1">
      <alignment horizontal="center"/>
    </xf>
    <xf numFmtId="164" fontId="4" fillId="0" borderId="9" xfId="8" applyNumberFormat="1" applyFont="1" applyBorder="1" applyAlignment="1">
      <alignment horizontal="right"/>
    </xf>
    <xf numFmtId="166" fontId="5" fillId="0" borderId="0" xfId="0" applyNumberFormat="1" applyFont="1" applyAlignment="1">
      <alignment horizontal="center"/>
    </xf>
    <xf numFmtId="1" fontId="0" fillId="0" borderId="0" xfId="0" applyNumberFormat="1"/>
    <xf numFmtId="14" fontId="4" fillId="0" borderId="0" xfId="48" applyNumberFormat="1" applyFont="1"/>
    <xf numFmtId="6" fontId="5" fillId="0" borderId="0" xfId="0" applyNumberFormat="1" applyFont="1" applyAlignment="1">
      <alignment horizontal="right"/>
    </xf>
    <xf numFmtId="168" fontId="5" fillId="0" borderId="0" xfId="0" applyNumberFormat="1" applyFont="1" applyAlignment="1">
      <alignment horizontal="right"/>
    </xf>
    <xf numFmtId="44" fontId="5" fillId="0" borderId="0" xfId="0" applyNumberFormat="1" applyFont="1" applyAlignment="1">
      <alignment horizontal="right"/>
    </xf>
    <xf numFmtId="6" fontId="4" fillId="0" borderId="0" xfId="0" applyNumberFormat="1" applyFont="1" applyAlignment="1">
      <alignment horizontal="right"/>
    </xf>
    <xf numFmtId="6" fontId="5" fillId="0" borderId="0" xfId="0" applyNumberFormat="1" applyFont="1"/>
    <xf numFmtId="0" fontId="11" fillId="0" borderId="3" xfId="0" applyFont="1" applyBorder="1"/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  <xf numFmtId="5" fontId="10" fillId="0" borderId="0" xfId="0" applyNumberFormat="1" applyFont="1" applyAlignment="1">
      <alignment horizontal="center"/>
    </xf>
    <xf numFmtId="14" fontId="10" fillId="0" borderId="0" xfId="0" applyNumberFormat="1" applyFont="1" applyAlignment="1">
      <alignment horizontal="right"/>
    </xf>
    <xf numFmtId="42" fontId="10" fillId="0" borderId="0" xfId="0" applyNumberFormat="1" applyFont="1" applyAlignment="1">
      <alignment horizontal="right"/>
    </xf>
    <xf numFmtId="14" fontId="10" fillId="0" borderId="5" xfId="0" applyNumberFormat="1" applyFont="1" applyBorder="1"/>
    <xf numFmtId="0" fontId="11" fillId="0" borderId="0" xfId="0" applyFont="1" applyAlignment="1">
      <alignment horizontal="center" vertical="center"/>
    </xf>
    <xf numFmtId="14" fontId="10" fillId="0" borderId="8" xfId="0" applyNumberFormat="1" applyFont="1" applyBorder="1"/>
    <xf numFmtId="0" fontId="4" fillId="0" borderId="3" xfId="0" applyFont="1" applyBorder="1"/>
    <xf numFmtId="5" fontId="10" fillId="0" borderId="0" xfId="0" applyNumberFormat="1" applyFont="1" applyAlignment="1">
      <alignment horizontal="left"/>
    </xf>
    <xf numFmtId="5" fontId="5" fillId="0" borderId="0" xfId="0" applyNumberFormat="1" applyFont="1" applyAlignment="1">
      <alignment horizontal="left"/>
    </xf>
    <xf numFmtId="14" fontId="5" fillId="0" borderId="2" xfId="0" applyNumberFormat="1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4" fillId="0" borderId="5" xfId="0" applyFont="1" applyBorder="1"/>
    <xf numFmtId="0" fontId="21" fillId="0" borderId="0" xfId="0" applyFont="1"/>
    <xf numFmtId="164" fontId="4" fillId="0" borderId="0" xfId="8" applyNumberFormat="1" applyFont="1" applyFill="1" applyBorder="1" applyAlignment="1">
      <alignment horizontal="center"/>
    </xf>
    <xf numFmtId="14" fontId="0" fillId="0" borderId="0" xfId="0" applyNumberFormat="1" applyAlignment="1">
      <alignment horizontal="right"/>
    </xf>
    <xf numFmtId="0" fontId="5" fillId="0" borderId="2" xfId="0" applyFont="1" applyBorder="1" applyAlignment="1">
      <alignment horizontal="left"/>
    </xf>
    <xf numFmtId="5" fontId="4" fillId="0" borderId="0" xfId="48" applyNumberFormat="1" applyFont="1"/>
    <xf numFmtId="14" fontId="4" fillId="0" borderId="0" xfId="8" applyNumberFormat="1" applyFont="1" applyBorder="1" applyAlignment="1">
      <alignment horizontal="right"/>
    </xf>
    <xf numFmtId="0" fontId="9" fillId="0" borderId="11" xfId="0" applyFont="1" applyBorder="1" applyAlignment="1">
      <alignment horizontal="center"/>
    </xf>
    <xf numFmtId="164" fontId="4" fillId="2" borderId="0" xfId="0" applyNumberFormat="1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5" fillId="0" borderId="11" xfId="0" applyFont="1" applyBorder="1" applyAlignment="1">
      <alignment horizontal="right"/>
    </xf>
    <xf numFmtId="164" fontId="4" fillId="2" borderId="0" xfId="8" applyNumberFormat="1" applyFont="1" applyFill="1" applyAlignment="1">
      <alignment horizontal="left"/>
    </xf>
    <xf numFmtId="0" fontId="4" fillId="2" borderId="25" xfId="0" applyFont="1" applyFill="1" applyBorder="1" applyAlignment="1">
      <alignment horizontal="center"/>
    </xf>
    <xf numFmtId="42" fontId="5" fillId="2" borderId="25" xfId="0" applyNumberFormat="1" applyFont="1" applyFill="1" applyBorder="1" applyAlignment="1">
      <alignment horizontal="center"/>
    </xf>
    <xf numFmtId="164" fontId="4" fillId="2" borderId="0" xfId="0" applyNumberFormat="1" applyFont="1" applyFill="1"/>
    <xf numFmtId="42" fontId="4" fillId="0" borderId="0" xfId="8" applyNumberFormat="1" applyFont="1" applyFill="1" applyAlignment="1">
      <alignment horizontal="center"/>
    </xf>
    <xf numFmtId="5" fontId="4" fillId="0" borderId="0" xfId="8" applyNumberFormat="1" applyFont="1" applyAlignment="1">
      <alignment horizontal="center"/>
    </xf>
    <xf numFmtId="42" fontId="0" fillId="0" borderId="11" xfId="0" applyNumberFormat="1" applyBorder="1"/>
    <xf numFmtId="42" fontId="0" fillId="3" borderId="0" xfId="0" applyNumberFormat="1" applyFill="1"/>
    <xf numFmtId="166" fontId="21" fillId="0" borderId="0" xfId="8" applyNumberFormat="1" applyFont="1" applyAlignment="1">
      <alignment horizontal="right"/>
    </xf>
    <xf numFmtId="164" fontId="4" fillId="0" borderId="26" xfId="8" applyNumberFormat="1" applyFont="1" applyBorder="1" applyAlignment="1">
      <alignment horizontal="center"/>
    </xf>
    <xf numFmtId="164" fontId="5" fillId="0" borderId="26" xfId="8" applyNumberFormat="1" applyFont="1" applyFill="1" applyBorder="1" applyAlignment="1">
      <alignment horizontal="center"/>
    </xf>
    <xf numFmtId="164" fontId="5" fillId="0" borderId="25" xfId="0" applyNumberFormat="1" applyFont="1" applyBorder="1" applyAlignment="1">
      <alignment horizontal="right"/>
    </xf>
    <xf numFmtId="164" fontId="5" fillId="0" borderId="27" xfId="0" applyNumberFormat="1" applyFont="1" applyBorder="1" applyAlignment="1">
      <alignment horizontal="right"/>
    </xf>
    <xf numFmtId="164" fontId="4" fillId="0" borderId="15" xfId="0" applyNumberFormat="1" applyFont="1" applyBorder="1" applyAlignment="1">
      <alignment horizontal="right"/>
    </xf>
    <xf numFmtId="164" fontId="4" fillId="0" borderId="0" xfId="0" quotePrefix="1" applyNumberFormat="1" applyFont="1" applyAlignment="1">
      <alignment horizontal="right"/>
    </xf>
    <xf numFmtId="164" fontId="4" fillId="0" borderId="28" xfId="0" applyNumberFormat="1" applyFont="1" applyBorder="1" applyAlignment="1">
      <alignment horizontal="right"/>
    </xf>
    <xf numFmtId="166" fontId="4" fillId="0" borderId="0" xfId="8" applyNumberFormat="1" applyFont="1" applyFill="1" applyBorder="1" applyAlignment="1">
      <alignment horizontal="center"/>
    </xf>
    <xf numFmtId="164" fontId="4" fillId="2" borderId="0" xfId="1" applyNumberFormat="1" applyFont="1" applyFill="1" applyBorder="1"/>
    <xf numFmtId="42" fontId="5" fillId="0" borderId="2" xfId="0" applyNumberFormat="1" applyFont="1" applyBorder="1" applyAlignment="1">
      <alignment horizontal="center"/>
    </xf>
    <xf numFmtId="175" fontId="4" fillId="0" borderId="2" xfId="1" applyNumberFormat="1" applyFont="1" applyBorder="1" applyAlignment="1">
      <alignment horizontal="center"/>
    </xf>
    <xf numFmtId="175" fontId="4" fillId="0" borderId="0" xfId="1" applyNumberFormat="1" applyFont="1" applyBorder="1" applyAlignment="1">
      <alignment horizontal="center"/>
    </xf>
    <xf numFmtId="175" fontId="5" fillId="0" borderId="6" xfId="1" applyNumberFormat="1" applyFont="1" applyBorder="1" applyAlignment="1">
      <alignment horizontal="center"/>
    </xf>
    <xf numFmtId="164" fontId="4" fillId="0" borderId="0" xfId="1" applyNumberFormat="1" applyFont="1"/>
    <xf numFmtId="16" fontId="5" fillId="0" borderId="0" xfId="0" applyNumberFormat="1" applyFont="1" applyAlignment="1">
      <alignment horizontal="left"/>
    </xf>
    <xf numFmtId="0" fontId="5" fillId="0" borderId="26" xfId="0" applyFont="1" applyBorder="1" applyAlignment="1">
      <alignment horizontal="center"/>
    </xf>
    <xf numFmtId="0" fontId="5" fillId="0" borderId="29" xfId="0" applyFont="1" applyBorder="1" applyAlignment="1">
      <alignment horizontal="center"/>
    </xf>
    <xf numFmtId="164" fontId="5" fillId="0" borderId="13" xfId="0" applyNumberFormat="1" applyFont="1" applyBorder="1"/>
    <xf numFmtId="0" fontId="4" fillId="0" borderId="13" xfId="0" applyFont="1" applyBorder="1"/>
    <xf numFmtId="164" fontId="4" fillId="0" borderId="13" xfId="0" applyNumberFormat="1" applyFont="1" applyBorder="1"/>
    <xf numFmtId="42" fontId="4" fillId="0" borderId="13" xfId="0" applyNumberFormat="1" applyFont="1" applyBorder="1"/>
    <xf numFmtId="0" fontId="22" fillId="0" borderId="0" xfId="0" applyFont="1"/>
    <xf numFmtId="44" fontId="5" fillId="0" borderId="9" xfId="0" applyNumberFormat="1" applyFont="1" applyBorder="1" applyAlignment="1">
      <alignment horizontal="right"/>
    </xf>
    <xf numFmtId="0" fontId="1" fillId="0" borderId="0" xfId="0" applyFont="1" applyAlignment="1">
      <alignment horizontal="right"/>
    </xf>
    <xf numFmtId="44" fontId="4" fillId="0" borderId="14" xfId="0" applyNumberFormat="1" applyFont="1" applyBorder="1" applyAlignment="1">
      <alignment horizontal="right"/>
    </xf>
    <xf numFmtId="165" fontId="5" fillId="0" borderId="2" xfId="8" applyFont="1" applyBorder="1" applyAlignment="1">
      <alignment horizontal="center"/>
    </xf>
    <xf numFmtId="44" fontId="5" fillId="0" borderId="2" xfId="8" applyNumberFormat="1" applyFont="1" applyBorder="1" applyAlignment="1">
      <alignment horizontal="center"/>
    </xf>
    <xf numFmtId="0" fontId="5" fillId="0" borderId="30" xfId="0" applyFont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5" fillId="0" borderId="31" xfId="0" applyFont="1" applyBorder="1" applyAlignment="1">
      <alignment horizontal="center"/>
    </xf>
    <xf numFmtId="0" fontId="5" fillId="0" borderId="32" xfId="0" applyFont="1" applyBorder="1" applyAlignment="1">
      <alignment horizontal="center"/>
    </xf>
    <xf numFmtId="10" fontId="4" fillId="0" borderId="15" xfId="48" applyNumberFormat="1" applyFont="1" applyBorder="1"/>
    <xf numFmtId="0" fontId="4" fillId="0" borderId="31" xfId="0" applyFont="1" applyBorder="1"/>
    <xf numFmtId="10" fontId="4" fillId="0" borderId="32" xfId="48" applyNumberFormat="1" applyFont="1" applyBorder="1"/>
    <xf numFmtId="42" fontId="10" fillId="0" borderId="33" xfId="0" applyNumberFormat="1" applyFont="1" applyBorder="1" applyAlignment="1">
      <alignment horizontal="center"/>
    </xf>
    <xf numFmtId="42" fontId="10" fillId="0" borderId="34" xfId="0" applyNumberFormat="1" applyFont="1" applyBorder="1" applyAlignment="1">
      <alignment horizontal="center"/>
    </xf>
    <xf numFmtId="42" fontId="10" fillId="0" borderId="35" xfId="0" applyNumberFormat="1" applyFont="1" applyBorder="1" applyAlignment="1">
      <alignment horizontal="center"/>
    </xf>
    <xf numFmtId="168" fontId="4" fillId="0" borderId="20" xfId="0" applyNumberFormat="1" applyFont="1" applyBorder="1"/>
    <xf numFmtId="44" fontId="4" fillId="0" borderId="12" xfId="0" applyNumberFormat="1" applyFont="1" applyBorder="1"/>
    <xf numFmtId="44" fontId="5" fillId="0" borderId="9" xfId="0" applyNumberFormat="1" applyFont="1" applyBorder="1"/>
    <xf numFmtId="164" fontId="4" fillId="0" borderId="12" xfId="0" applyNumberFormat="1" applyFont="1" applyBorder="1"/>
    <xf numFmtId="164" fontId="4" fillId="0" borderId="0" xfId="8" applyNumberFormat="1" applyFont="1" applyFill="1" applyBorder="1" applyAlignment="1">
      <alignment horizontal="left"/>
    </xf>
    <xf numFmtId="164" fontId="5" fillId="0" borderId="0" xfId="8" applyNumberFormat="1" applyFont="1" applyFill="1" applyBorder="1" applyAlignment="1">
      <alignment horizontal="center"/>
    </xf>
    <xf numFmtId="44" fontId="4" fillId="0" borderId="0" xfId="8" applyNumberFormat="1" applyFont="1" applyFill="1" applyBorder="1" applyAlignment="1">
      <alignment horizontal="center"/>
    </xf>
    <xf numFmtId="164" fontId="4" fillId="2" borderId="25" xfId="0" applyNumberFormat="1" applyFont="1" applyFill="1" applyBorder="1" applyAlignment="1">
      <alignment horizontal="center"/>
    </xf>
    <xf numFmtId="42" fontId="5" fillId="0" borderId="0" xfId="8" applyNumberFormat="1" applyFont="1" applyFill="1" applyBorder="1" applyAlignment="1">
      <alignment horizontal="center"/>
    </xf>
    <xf numFmtId="14" fontId="4" fillId="0" borderId="0" xfId="1" applyNumberFormat="1" applyFont="1"/>
    <xf numFmtId="164" fontId="21" fillId="0" borderId="0" xfId="8" applyNumberFormat="1" applyFont="1" applyFill="1" applyBorder="1" applyAlignment="1">
      <alignment horizontal="center"/>
    </xf>
    <xf numFmtId="179" fontId="4" fillId="0" borderId="0" xfId="0" applyNumberFormat="1" applyFont="1" applyAlignment="1">
      <alignment horizontal="center"/>
    </xf>
    <xf numFmtId="44" fontId="4" fillId="0" borderId="9" xfId="8" applyNumberFormat="1" applyFont="1" applyBorder="1" applyAlignment="1">
      <alignment horizontal="right"/>
    </xf>
    <xf numFmtId="44" fontId="13" fillId="0" borderId="0" xfId="0" applyNumberFormat="1" applyFont="1"/>
    <xf numFmtId="168" fontId="4" fillId="0" borderId="0" xfId="8" applyNumberFormat="1" applyFont="1" applyBorder="1" applyAlignment="1">
      <alignment horizontal="center"/>
    </xf>
    <xf numFmtId="14" fontId="4" fillId="0" borderId="0" xfId="8" applyNumberFormat="1" applyFont="1" applyFill="1" applyBorder="1" applyAlignment="1">
      <alignment horizontal="center"/>
    </xf>
    <xf numFmtId="166" fontId="22" fillId="0" borderId="0" xfId="8" applyNumberFormat="1" applyFont="1" applyBorder="1" applyAlignment="1">
      <alignment horizontal="center"/>
    </xf>
    <xf numFmtId="165" fontId="4" fillId="0" borderId="0" xfId="8" applyFont="1" applyFill="1" applyBorder="1" applyAlignment="1">
      <alignment horizontal="center"/>
    </xf>
    <xf numFmtId="7" fontId="5" fillId="0" borderId="9" xfId="1" applyNumberFormat="1" applyFont="1" applyBorder="1"/>
    <xf numFmtId="14" fontId="5" fillId="0" borderId="2" xfId="23" applyNumberFormat="1" applyFont="1" applyBorder="1" applyAlignment="1">
      <alignment horizontal="right"/>
    </xf>
    <xf numFmtId="14" fontId="5" fillId="0" borderId="0" xfId="23" applyNumberFormat="1" applyFont="1" applyBorder="1" applyAlignment="1">
      <alignment horizontal="right"/>
    </xf>
    <xf numFmtId="7" fontId="4" fillId="0" borderId="0" xfId="0" applyNumberFormat="1" applyFont="1"/>
    <xf numFmtId="8" fontId="0" fillId="0" borderId="0" xfId="0" applyNumberFormat="1"/>
    <xf numFmtId="165" fontId="0" fillId="0" borderId="0" xfId="0" applyNumberFormat="1"/>
    <xf numFmtId="6" fontId="21" fillId="0" borderId="0" xfId="0" applyNumberFormat="1" applyFont="1" applyAlignment="1">
      <alignment horizontal="center"/>
    </xf>
    <xf numFmtId="44" fontId="4" fillId="0" borderId="0" xfId="48" applyNumberFormat="1" applyFont="1" applyAlignment="1">
      <alignment horizontal="right"/>
    </xf>
    <xf numFmtId="0" fontId="11" fillId="0" borderId="2" xfId="0" applyFont="1" applyBorder="1" applyAlignment="1">
      <alignment horizontal="left"/>
    </xf>
    <xf numFmtId="42" fontId="10" fillId="0" borderId="0" xfId="0" applyNumberFormat="1" applyFont="1" applyAlignment="1">
      <alignment horizontal="left"/>
    </xf>
    <xf numFmtId="42" fontId="10" fillId="0" borderId="6" xfId="8" applyNumberFormat="1" applyFont="1" applyBorder="1" applyAlignment="1">
      <alignment horizontal="left"/>
    </xf>
    <xf numFmtId="42" fontId="10" fillId="0" borderId="0" xfId="0" applyNumberFormat="1" applyFont="1" applyAlignment="1">
      <alignment horizontal="center"/>
    </xf>
    <xf numFmtId="14" fontId="10" fillId="0" borderId="5" xfId="0" applyNumberFormat="1" applyFont="1" applyBorder="1" applyAlignment="1">
      <alignment horizontal="left"/>
    </xf>
    <xf numFmtId="14" fontId="10" fillId="0" borderId="8" xfId="0" applyNumberFormat="1" applyFont="1" applyBorder="1" applyAlignment="1">
      <alignment horizontal="left"/>
    </xf>
    <xf numFmtId="42" fontId="10" fillId="0" borderId="5" xfId="0" applyNumberFormat="1" applyFont="1" applyBorder="1" applyAlignment="1">
      <alignment horizontal="left"/>
    </xf>
    <xf numFmtId="42" fontId="10" fillId="0" borderId="8" xfId="8" applyNumberFormat="1" applyFont="1" applyBorder="1" applyAlignment="1">
      <alignment horizontal="left"/>
    </xf>
    <xf numFmtId="164" fontId="4" fillId="0" borderId="0" xfId="8" applyNumberFormat="1" applyFont="1" applyAlignment="1">
      <alignment horizontal="left"/>
    </xf>
    <xf numFmtId="44" fontId="24" fillId="0" borderId="0" xfId="0" applyNumberFormat="1" applyFont="1"/>
    <xf numFmtId="44" fontId="25" fillId="0" borderId="0" xfId="0" applyNumberFormat="1" applyFont="1"/>
    <xf numFmtId="0" fontId="22" fillId="0" borderId="0" xfId="0" applyFont="1" applyAlignment="1">
      <alignment horizontal="center"/>
    </xf>
    <xf numFmtId="164" fontId="26" fillId="0" borderId="0" xfId="0" applyNumberFormat="1" applyFont="1"/>
    <xf numFmtId="44" fontId="13" fillId="0" borderId="0" xfId="0" applyNumberFormat="1" applyFont="1" applyAlignment="1">
      <alignment horizontal="right"/>
    </xf>
    <xf numFmtId="164" fontId="13" fillId="0" borderId="0" xfId="0" applyNumberFormat="1" applyFont="1"/>
    <xf numFmtId="164" fontId="26" fillId="0" borderId="2" xfId="0" applyNumberFormat="1" applyFont="1" applyBorder="1"/>
    <xf numFmtId="14" fontId="5" fillId="0" borderId="8" xfId="0" applyNumberFormat="1" applyFont="1" applyBorder="1" applyAlignment="1">
      <alignment horizontal="center"/>
    </xf>
    <xf numFmtId="0" fontId="4" fillId="0" borderId="20" xfId="0" applyFont="1" applyBorder="1"/>
    <xf numFmtId="169" fontId="5" fillId="0" borderId="0" xfId="48" applyNumberFormat="1" applyFont="1" applyAlignment="1">
      <alignment horizontal="right"/>
    </xf>
    <xf numFmtId="166" fontId="21" fillId="0" borderId="0" xfId="8" applyNumberFormat="1" applyFont="1" applyBorder="1" applyAlignment="1">
      <alignment horizontal="center"/>
    </xf>
    <xf numFmtId="164" fontId="4" fillId="0" borderId="11" xfId="8" applyNumberFormat="1" applyFont="1" applyFill="1" applyBorder="1" applyAlignment="1">
      <alignment horizontal="center"/>
    </xf>
    <xf numFmtId="179" fontId="4" fillId="0" borderId="0" xfId="0" applyNumberFormat="1" applyFont="1"/>
    <xf numFmtId="44" fontId="4" fillId="0" borderId="0" xfId="1" applyNumberFormat="1" applyFont="1" applyBorder="1" applyAlignment="1">
      <alignment horizontal="left"/>
    </xf>
    <xf numFmtId="168" fontId="4" fillId="0" borderId="0" xfId="0" applyNumberFormat="1" applyFont="1" applyAlignment="1">
      <alignment horizontal="right"/>
    </xf>
    <xf numFmtId="3" fontId="4" fillId="0" borderId="0" xfId="0" applyNumberFormat="1" applyFont="1" applyAlignment="1">
      <alignment horizontal="center"/>
    </xf>
    <xf numFmtId="10" fontId="4" fillId="0" borderId="0" xfId="0" applyNumberFormat="1" applyFont="1"/>
    <xf numFmtId="180" fontId="4" fillId="0" borderId="0" xfId="48" applyNumberFormat="1" applyFont="1"/>
    <xf numFmtId="180" fontId="4" fillId="0" borderId="0" xfId="0" applyNumberFormat="1" applyFont="1"/>
    <xf numFmtId="14" fontId="4" fillId="0" borderId="0" xfId="8" applyNumberFormat="1" applyFont="1" applyAlignment="1">
      <alignment horizontal="center"/>
    </xf>
    <xf numFmtId="14" fontId="4" fillId="0" borderId="0" xfId="8" applyNumberFormat="1" applyFont="1" applyAlignment="1">
      <alignment horizontal="right"/>
    </xf>
    <xf numFmtId="6" fontId="0" fillId="0" borderId="0" xfId="0" applyNumberFormat="1"/>
    <xf numFmtId="43" fontId="0" fillId="0" borderId="0" xfId="1" applyFont="1"/>
    <xf numFmtId="43" fontId="4" fillId="0" borderId="0" xfId="8" applyNumberFormat="1" applyFont="1" applyFill="1" applyBorder="1" applyAlignment="1">
      <alignment horizontal="center"/>
    </xf>
    <xf numFmtId="168" fontId="4" fillId="0" borderId="0" xfId="0" applyNumberFormat="1" applyFont="1" applyAlignment="1">
      <alignment horizontal="center"/>
    </xf>
    <xf numFmtId="9" fontId="4" fillId="0" borderId="0" xfId="48" applyFont="1" applyAlignment="1">
      <alignment horizontal="right"/>
    </xf>
    <xf numFmtId="44" fontId="4" fillId="0" borderId="0" xfId="8" applyNumberFormat="1" applyFont="1" applyAlignment="1">
      <alignment horizontal="right"/>
    </xf>
    <xf numFmtId="6" fontId="4" fillId="0" borderId="0" xfId="8" applyNumberFormat="1" applyFont="1" applyAlignment="1">
      <alignment horizontal="center"/>
    </xf>
    <xf numFmtId="175" fontId="4" fillId="0" borderId="0" xfId="0" applyNumberFormat="1" applyFont="1"/>
    <xf numFmtId="175" fontId="4" fillId="0" borderId="0" xfId="8" applyNumberFormat="1" applyFont="1"/>
    <xf numFmtId="175" fontId="21" fillId="0" borderId="0" xfId="1" applyNumberFormat="1" applyFont="1"/>
    <xf numFmtId="164" fontId="5" fillId="0" borderId="0" xfId="8" applyNumberFormat="1" applyFont="1" applyFill="1" applyBorder="1" applyAlignment="1">
      <alignment horizontal="right"/>
    </xf>
    <xf numFmtId="44" fontId="5" fillId="0" borderId="6" xfId="0" applyNumberFormat="1" applyFont="1" applyBorder="1" applyAlignment="1">
      <alignment horizontal="right"/>
    </xf>
    <xf numFmtId="9" fontId="4" fillId="0" borderId="0" xfId="48" applyFont="1" applyAlignment="1">
      <alignment horizontal="center"/>
    </xf>
    <xf numFmtId="165" fontId="21" fillId="0" borderId="0" xfId="8" applyFont="1" applyBorder="1" applyAlignment="1">
      <alignment horizontal="left"/>
    </xf>
    <xf numFmtId="181" fontId="4" fillId="0" borderId="0" xfId="0" applyNumberFormat="1" applyFont="1"/>
    <xf numFmtId="2" fontId="4" fillId="0" borderId="0" xfId="8" applyNumberFormat="1" applyFont="1" applyAlignment="1">
      <alignment horizontal="right"/>
    </xf>
    <xf numFmtId="44" fontId="1" fillId="0" borderId="0" xfId="0" applyNumberFormat="1" applyFont="1" applyAlignment="1">
      <alignment horizontal="right"/>
    </xf>
    <xf numFmtId="44" fontId="5" fillId="0" borderId="12" xfId="0" applyNumberFormat="1" applyFont="1" applyBorder="1"/>
    <xf numFmtId="164" fontId="4" fillId="0" borderId="13" xfId="0" applyNumberFormat="1" applyFont="1" applyBorder="1" applyAlignment="1">
      <alignment horizontal="center"/>
    </xf>
    <xf numFmtId="164" fontId="4" fillId="0" borderId="13" xfId="8" applyNumberFormat="1" applyFont="1" applyFill="1" applyBorder="1" applyAlignment="1">
      <alignment horizontal="center"/>
    </xf>
    <xf numFmtId="42" fontId="4" fillId="0" borderId="14" xfId="0" applyNumberFormat="1" applyFont="1" applyBorder="1" applyAlignment="1">
      <alignment horizontal="center"/>
    </xf>
    <xf numFmtId="168" fontId="4" fillId="0" borderId="9" xfId="0" applyNumberFormat="1" applyFont="1" applyBorder="1" applyAlignment="1">
      <alignment horizontal="center"/>
    </xf>
    <xf numFmtId="42" fontId="4" fillId="0" borderId="9" xfId="0" applyNumberFormat="1" applyFont="1" applyBorder="1" applyAlignment="1">
      <alignment horizontal="center"/>
    </xf>
    <xf numFmtId="42" fontId="4" fillId="0" borderId="28" xfId="0" applyNumberFormat="1" applyFont="1" applyBorder="1" applyAlignment="1">
      <alignment horizontal="center"/>
    </xf>
    <xf numFmtId="42" fontId="4" fillId="0" borderId="0" xfId="8" applyNumberFormat="1" applyFont="1" applyFill="1" applyAlignment="1">
      <alignment horizontal="right"/>
    </xf>
    <xf numFmtId="42" fontId="4" fillId="0" borderId="0" xfId="8" applyNumberFormat="1" applyFont="1" applyFill="1" applyBorder="1" applyAlignment="1">
      <alignment horizontal="center"/>
    </xf>
    <xf numFmtId="14" fontId="0" fillId="0" borderId="0" xfId="48" applyNumberFormat="1" applyFont="1"/>
    <xf numFmtId="0" fontId="27" fillId="0" borderId="0" xfId="0" applyFont="1"/>
    <xf numFmtId="44" fontId="5" fillId="0" borderId="0" xfId="8" applyNumberFormat="1" applyFont="1" applyFill="1" applyBorder="1" applyAlignment="1">
      <alignment horizontal="center"/>
    </xf>
    <xf numFmtId="0" fontId="23" fillId="0" borderId="0" xfId="0" applyFont="1"/>
    <xf numFmtId="0" fontId="17" fillId="0" borderId="0" xfId="0" applyFont="1" applyAlignment="1">
      <alignment horizontal="left"/>
    </xf>
    <xf numFmtId="5" fontId="17" fillId="0" borderId="0" xfId="0" applyNumberFormat="1" applyFont="1" applyAlignment="1">
      <alignment horizontal="left"/>
    </xf>
    <xf numFmtId="164" fontId="17" fillId="0" borderId="0" xfId="0" applyNumberFormat="1" applyFont="1"/>
    <xf numFmtId="14" fontId="17" fillId="0" borderId="0" xfId="0" applyNumberFormat="1" applyFont="1"/>
    <xf numFmtId="14" fontId="17" fillId="0" borderId="0" xfId="0" applyNumberFormat="1" applyFont="1" applyAlignment="1">
      <alignment horizontal="right"/>
    </xf>
    <xf numFmtId="42" fontId="17" fillId="0" borderId="0" xfId="8" applyNumberFormat="1" applyFont="1" applyFill="1" applyAlignment="1">
      <alignment horizontal="right"/>
    </xf>
    <xf numFmtId="168" fontId="5" fillId="0" borderId="0" xfId="8" applyNumberFormat="1" applyFont="1" applyBorder="1" applyAlignment="1">
      <alignment horizontal="right"/>
    </xf>
    <xf numFmtId="42" fontId="4" fillId="0" borderId="0" xfId="8" applyNumberFormat="1" applyFont="1" applyAlignment="1">
      <alignment horizontal="right"/>
    </xf>
    <xf numFmtId="168" fontId="4" fillId="0" borderId="0" xfId="8" applyNumberFormat="1" applyFont="1" applyAlignment="1">
      <alignment horizontal="right"/>
    </xf>
    <xf numFmtId="164" fontId="4" fillId="0" borderId="0" xfId="23" applyNumberFormat="1" applyFont="1" applyFill="1" applyBorder="1" applyAlignment="1">
      <alignment horizontal="center"/>
    </xf>
    <xf numFmtId="9" fontId="4" fillId="0" borderId="0" xfId="48" applyFont="1" applyFill="1" applyBorder="1" applyAlignment="1">
      <alignment horizontal="center"/>
    </xf>
    <xf numFmtId="165" fontId="21" fillId="0" borderId="0" xfId="8" applyFont="1" applyAlignment="1">
      <alignment horizontal="center"/>
    </xf>
    <xf numFmtId="165" fontId="0" fillId="0" borderId="0" xfId="8" applyFont="1" applyAlignment="1">
      <alignment horizontal="right"/>
    </xf>
    <xf numFmtId="164" fontId="4" fillId="2" borderId="0" xfId="8" applyNumberFormat="1" applyFont="1" applyFill="1" applyBorder="1" applyAlignment="1">
      <alignment horizontal="right"/>
    </xf>
    <xf numFmtId="165" fontId="21" fillId="0" borderId="0" xfId="8" applyFont="1" applyFill="1" applyAlignment="1">
      <alignment horizontal="center"/>
    </xf>
    <xf numFmtId="14" fontId="4" fillId="3" borderId="0" xfId="0" applyNumberFormat="1" applyFont="1" applyFill="1" applyAlignment="1">
      <alignment horizontal="left"/>
    </xf>
    <xf numFmtId="0" fontId="4" fillId="0" borderId="11" xfId="0" applyFont="1" applyBorder="1" applyAlignment="1">
      <alignment horizontal="center"/>
    </xf>
    <xf numFmtId="5" fontId="4" fillId="0" borderId="11" xfId="0" applyNumberFormat="1" applyFont="1" applyBorder="1" applyAlignment="1">
      <alignment horizontal="center"/>
    </xf>
    <xf numFmtId="14" fontId="4" fillId="0" borderId="11" xfId="0" applyNumberFormat="1" applyFont="1" applyBorder="1" applyAlignment="1">
      <alignment horizontal="center"/>
    </xf>
    <xf numFmtId="42" fontId="21" fillId="0" borderId="0" xfId="8" applyNumberFormat="1" applyFont="1" applyFill="1" applyBorder="1" applyAlignment="1">
      <alignment horizontal="center"/>
    </xf>
    <xf numFmtId="166" fontId="5" fillId="0" borderId="0" xfId="8" applyNumberFormat="1" applyFont="1"/>
    <xf numFmtId="10" fontId="4" fillId="0" borderId="0" xfId="48" applyNumberFormat="1" applyFont="1" applyAlignment="1">
      <alignment horizontal="right"/>
    </xf>
    <xf numFmtId="164" fontId="4" fillId="0" borderId="11" xfId="0" applyNumberFormat="1" applyFont="1" applyBorder="1"/>
    <xf numFmtId="175" fontId="4" fillId="0" borderId="0" xfId="1" applyNumberFormat="1" applyFont="1" applyFill="1"/>
    <xf numFmtId="166" fontId="4" fillId="0" borderId="0" xfId="8" applyNumberFormat="1" applyFont="1" applyFill="1"/>
    <xf numFmtId="178" fontId="4" fillId="0" borderId="0" xfId="0" applyNumberFormat="1" applyFont="1"/>
    <xf numFmtId="4" fontId="0" fillId="0" borderId="0" xfId="0" applyNumberFormat="1"/>
    <xf numFmtId="0" fontId="4" fillId="0" borderId="11" xfId="0" applyFont="1" applyBorder="1" applyAlignment="1">
      <alignment horizontal="left"/>
    </xf>
    <xf numFmtId="42" fontId="4" fillId="0" borderId="11" xfId="0" applyNumberFormat="1" applyFont="1" applyBorder="1" applyAlignment="1">
      <alignment horizontal="center"/>
    </xf>
    <xf numFmtId="44" fontId="26" fillId="0" borderId="2" xfId="0" applyNumberFormat="1" applyFont="1" applyBorder="1" applyAlignment="1">
      <alignment horizontal="center"/>
    </xf>
    <xf numFmtId="0" fontId="28" fillId="0" borderId="0" xfId="0" applyFont="1"/>
    <xf numFmtId="164" fontId="4" fillId="0" borderId="0" xfId="1" applyNumberFormat="1" applyFont="1" applyFill="1" applyBorder="1" applyAlignment="1">
      <alignment horizontal="center"/>
    </xf>
    <xf numFmtId="8" fontId="4" fillId="0" borderId="0" xfId="8" applyNumberFormat="1" applyFont="1" applyFill="1" applyBorder="1" applyAlignment="1">
      <alignment horizontal="center"/>
    </xf>
    <xf numFmtId="166" fontId="0" fillId="0" borderId="0" xfId="8" applyNumberFormat="1" applyFont="1"/>
    <xf numFmtId="164" fontId="4" fillId="0" borderId="11" xfId="1" applyNumberFormat="1" applyFont="1" applyFill="1" applyBorder="1" applyAlignment="1">
      <alignment horizontal="center"/>
    </xf>
    <xf numFmtId="165" fontId="5" fillId="0" borderId="6" xfId="0" applyNumberFormat="1" applyFont="1" applyBorder="1" applyAlignment="1">
      <alignment horizontal="right"/>
    </xf>
    <xf numFmtId="44" fontId="5" fillId="0" borderId="19" xfId="0" applyNumberFormat="1" applyFont="1" applyBorder="1" applyAlignment="1">
      <alignment horizontal="right"/>
    </xf>
    <xf numFmtId="173" fontId="4" fillId="0" borderId="0" xfId="8" applyNumberFormat="1" applyFont="1"/>
    <xf numFmtId="173" fontId="4" fillId="0" borderId="0" xfId="0" applyNumberFormat="1" applyFont="1"/>
    <xf numFmtId="165" fontId="5" fillId="0" borderId="4" xfId="0" applyNumberFormat="1" applyFont="1" applyBorder="1" applyAlignment="1">
      <alignment horizontal="right"/>
    </xf>
    <xf numFmtId="0" fontId="4" fillId="0" borderId="0" xfId="0" applyFont="1" applyAlignment="1">
      <alignment horizontal="center" vertical="center"/>
    </xf>
    <xf numFmtId="42" fontId="4" fillId="0" borderId="0" xfId="19" applyNumberFormat="1" applyFont="1" applyBorder="1" applyAlignment="1">
      <alignment horizontal="right"/>
    </xf>
    <xf numFmtId="0" fontId="21" fillId="0" borderId="0" xfId="0" applyFont="1" applyAlignment="1">
      <alignment horizontal="center"/>
    </xf>
    <xf numFmtId="14" fontId="4" fillId="0" borderId="2" xfId="0" applyNumberFormat="1" applyFont="1" applyBorder="1" applyAlignment="1">
      <alignment horizontal="left"/>
    </xf>
    <xf numFmtId="5" fontId="21" fillId="0" borderId="0" xfId="0" applyNumberFormat="1" applyFont="1" applyAlignment="1">
      <alignment horizontal="center"/>
    </xf>
    <xf numFmtId="14" fontId="21" fillId="0" borderId="0" xfId="0" applyNumberFormat="1" applyFont="1" applyAlignment="1">
      <alignment horizontal="center"/>
    </xf>
    <xf numFmtId="14" fontId="21" fillId="0" borderId="0" xfId="0" applyNumberFormat="1" applyFont="1" applyAlignment="1">
      <alignment horizontal="left"/>
    </xf>
    <xf numFmtId="164" fontId="4" fillId="0" borderId="14" xfId="8" applyNumberFormat="1" applyFont="1" applyBorder="1" applyAlignment="1">
      <alignment horizontal="center"/>
    </xf>
    <xf numFmtId="164" fontId="1" fillId="0" borderId="0" xfId="0" applyNumberFormat="1" applyFont="1"/>
    <xf numFmtId="0" fontId="29" fillId="0" borderId="0" xfId="0" applyFont="1"/>
    <xf numFmtId="14" fontId="4" fillId="0" borderId="0" xfId="8" applyNumberFormat="1" applyFont="1" applyBorder="1" applyAlignment="1">
      <alignment horizontal="center"/>
    </xf>
    <xf numFmtId="164" fontId="5" fillId="0" borderId="11" xfId="8" applyNumberFormat="1" applyFont="1" applyFill="1" applyBorder="1" applyAlignment="1">
      <alignment horizontal="center"/>
    </xf>
    <xf numFmtId="42" fontId="5" fillId="0" borderId="11" xfId="8" applyNumberFormat="1" applyFont="1" applyFill="1" applyBorder="1" applyAlignment="1">
      <alignment horizontal="center"/>
    </xf>
    <xf numFmtId="5" fontId="22" fillId="0" borderId="0" xfId="0" applyNumberFormat="1" applyFont="1" applyAlignment="1">
      <alignment horizontal="center"/>
    </xf>
    <xf numFmtId="42" fontId="22" fillId="0" borderId="0" xfId="8" applyNumberFormat="1" applyFont="1" applyFill="1" applyBorder="1" applyAlignment="1">
      <alignment horizontal="center"/>
    </xf>
    <xf numFmtId="14" fontId="22" fillId="0" borderId="0" xfId="0" applyNumberFormat="1" applyFont="1" applyAlignment="1">
      <alignment horizontal="center"/>
    </xf>
    <xf numFmtId="164" fontId="22" fillId="0" borderId="0" xfId="8" applyNumberFormat="1" applyFont="1" applyFill="1" applyBorder="1" applyAlignment="1">
      <alignment horizontal="center"/>
    </xf>
    <xf numFmtId="14" fontId="22" fillId="0" borderId="0" xfId="0" applyNumberFormat="1" applyFont="1" applyAlignment="1">
      <alignment horizontal="left"/>
    </xf>
    <xf numFmtId="182" fontId="0" fillId="0" borderId="0" xfId="0" applyNumberFormat="1" applyAlignment="1">
      <alignment horizontal="right"/>
    </xf>
    <xf numFmtId="14" fontId="5" fillId="3" borderId="0" xfId="0" applyNumberFormat="1" applyFont="1" applyFill="1" applyAlignment="1">
      <alignment horizontal="left"/>
    </xf>
    <xf numFmtId="164" fontId="21" fillId="0" borderId="0" xfId="0" applyNumberFormat="1" applyFont="1"/>
    <xf numFmtId="14" fontId="21" fillId="0" borderId="0" xfId="0" applyNumberFormat="1" applyFont="1" applyAlignment="1">
      <alignment horizontal="right"/>
    </xf>
    <xf numFmtId="14" fontId="5" fillId="3" borderId="11" xfId="0" applyNumberFormat="1" applyFont="1" applyFill="1" applyBorder="1" applyAlignment="1">
      <alignment horizontal="left"/>
    </xf>
    <xf numFmtId="0" fontId="22" fillId="0" borderId="11" xfId="0" applyFont="1" applyBorder="1" applyAlignment="1">
      <alignment horizontal="center"/>
    </xf>
    <xf numFmtId="182" fontId="0" fillId="0" borderId="0" xfId="0" applyNumberFormat="1"/>
    <xf numFmtId="44" fontId="5" fillId="0" borderId="0" xfId="0" applyNumberFormat="1" applyFont="1" applyAlignment="1">
      <alignment horizontal="center"/>
    </xf>
    <xf numFmtId="164" fontId="4" fillId="0" borderId="11" xfId="1" applyNumberFormat="1" applyFont="1" applyBorder="1" applyAlignment="1">
      <alignment horizontal="left"/>
    </xf>
    <xf numFmtId="178" fontId="0" fillId="0" borderId="0" xfId="0" applyNumberFormat="1"/>
    <xf numFmtId="168" fontId="4" fillId="0" borderId="0" xfId="8" applyNumberFormat="1" applyFont="1" applyFill="1" applyAlignment="1">
      <alignment horizontal="center"/>
    </xf>
    <xf numFmtId="8" fontId="0" fillId="0" borderId="0" xfId="0" applyNumberFormat="1" applyAlignment="1">
      <alignment horizontal="right"/>
    </xf>
    <xf numFmtId="6" fontId="0" fillId="0" borderId="0" xfId="0" applyNumberFormat="1" applyAlignment="1">
      <alignment horizontal="right"/>
    </xf>
    <xf numFmtId="0" fontId="17" fillId="0" borderId="0" xfId="0" applyFont="1" applyAlignment="1">
      <alignment horizontal="center"/>
    </xf>
    <xf numFmtId="5" fontId="17" fillId="0" borderId="0" xfId="0" applyNumberFormat="1" applyFont="1" applyAlignment="1">
      <alignment horizontal="center"/>
    </xf>
    <xf numFmtId="164" fontId="17" fillId="0" borderId="0" xfId="23" applyNumberFormat="1" applyFont="1" applyFill="1" applyBorder="1" applyAlignment="1">
      <alignment horizontal="center"/>
    </xf>
    <xf numFmtId="42" fontId="17" fillId="0" borderId="0" xfId="8" applyNumberFormat="1" applyFont="1" applyFill="1" applyBorder="1" applyAlignment="1">
      <alignment horizontal="center"/>
    </xf>
    <xf numFmtId="14" fontId="17" fillId="0" borderId="0" xfId="8" applyNumberFormat="1" applyFont="1" applyFill="1" applyBorder="1" applyAlignment="1">
      <alignment horizontal="center"/>
    </xf>
    <xf numFmtId="14" fontId="17" fillId="0" borderId="0" xfId="0" applyNumberFormat="1" applyFont="1" applyAlignment="1">
      <alignment horizontal="center"/>
    </xf>
    <xf numFmtId="164" fontId="17" fillId="0" borderId="0" xfId="8" applyNumberFormat="1" applyFont="1" applyFill="1" applyBorder="1" applyAlignment="1">
      <alignment horizontal="center"/>
    </xf>
    <xf numFmtId="44" fontId="0" fillId="0" borderId="0" xfId="0" applyNumberFormat="1" applyAlignment="1">
      <alignment horizontal="right"/>
    </xf>
    <xf numFmtId="0" fontId="5" fillId="3" borderId="0" xfId="0" applyFont="1" applyFill="1" applyAlignment="1">
      <alignment horizontal="left"/>
    </xf>
    <xf numFmtId="0" fontId="5" fillId="3" borderId="11" xfId="0" applyFont="1" applyFill="1" applyBorder="1" applyAlignment="1">
      <alignment horizontal="left"/>
    </xf>
    <xf numFmtId="42" fontId="17" fillId="0" borderId="0" xfId="0" applyNumberFormat="1" applyFont="1" applyAlignment="1">
      <alignment horizontal="center"/>
    </xf>
    <xf numFmtId="0" fontId="4" fillId="4" borderId="0" xfId="0" applyFont="1" applyFill="1" applyAlignment="1">
      <alignment horizontal="center"/>
    </xf>
    <xf numFmtId="5" fontId="4" fillId="4" borderId="0" xfId="0" applyNumberFormat="1" applyFont="1" applyFill="1" applyAlignment="1">
      <alignment horizontal="center"/>
    </xf>
    <xf numFmtId="164" fontId="4" fillId="4" borderId="0" xfId="8" applyNumberFormat="1" applyFont="1" applyFill="1" applyBorder="1" applyAlignment="1">
      <alignment horizontal="center"/>
    </xf>
    <xf numFmtId="14" fontId="4" fillId="4" borderId="0" xfId="0" applyNumberFormat="1" applyFont="1" applyFill="1" applyAlignment="1">
      <alignment horizontal="center"/>
    </xf>
    <xf numFmtId="44" fontId="4" fillId="4" borderId="0" xfId="8" applyNumberFormat="1" applyFont="1" applyFill="1" applyBorder="1" applyAlignment="1">
      <alignment horizontal="center"/>
    </xf>
    <xf numFmtId="166" fontId="4" fillId="4" borderId="0" xfId="8" applyNumberFormat="1" applyFont="1" applyFill="1" applyBorder="1" applyAlignment="1">
      <alignment horizontal="center"/>
    </xf>
    <xf numFmtId="42" fontId="4" fillId="4" borderId="0" xfId="8" applyNumberFormat="1" applyFont="1" applyFill="1" applyBorder="1" applyAlignment="1">
      <alignment horizontal="center"/>
    </xf>
    <xf numFmtId="14" fontId="4" fillId="4" borderId="0" xfId="0" applyNumberFormat="1" applyFont="1" applyFill="1" applyAlignment="1">
      <alignment horizontal="left"/>
    </xf>
    <xf numFmtId="164" fontId="4" fillId="4" borderId="2" xfId="8" applyNumberFormat="1" applyFont="1" applyFill="1" applyBorder="1" applyAlignment="1">
      <alignment horizontal="center"/>
    </xf>
    <xf numFmtId="14" fontId="4" fillId="4" borderId="2" xfId="0" applyNumberFormat="1" applyFont="1" applyFill="1" applyBorder="1" applyAlignment="1">
      <alignment horizontal="left"/>
    </xf>
    <xf numFmtId="0" fontId="4" fillId="4" borderId="0" xfId="0" applyFont="1" applyFill="1" applyAlignment="1">
      <alignment horizontal="left"/>
    </xf>
    <xf numFmtId="0" fontId="21" fillId="4" borderId="0" xfId="0" applyFont="1" applyFill="1" applyAlignment="1">
      <alignment horizontal="center"/>
    </xf>
    <xf numFmtId="166" fontId="5" fillId="0" borderId="0" xfId="8" applyNumberFormat="1" applyFont="1" applyFill="1" applyBorder="1" applyAlignment="1">
      <alignment horizontal="center"/>
    </xf>
    <xf numFmtId="42" fontId="4" fillId="0" borderId="11" xfId="8" applyNumberFormat="1" applyFont="1" applyFill="1" applyBorder="1" applyAlignment="1">
      <alignment horizontal="center"/>
    </xf>
    <xf numFmtId="14" fontId="4" fillId="3" borderId="11" xfId="0" applyNumberFormat="1" applyFont="1" applyFill="1" applyBorder="1" applyAlignment="1">
      <alignment horizontal="left"/>
    </xf>
    <xf numFmtId="0" fontId="21" fillId="0" borderId="11" xfId="0" applyFont="1" applyBorder="1" applyAlignment="1">
      <alignment horizontal="center"/>
    </xf>
    <xf numFmtId="168" fontId="4" fillId="0" borderId="0" xfId="8" applyNumberFormat="1" applyFont="1" applyFill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5" fillId="0" borderId="16" xfId="0" applyFont="1" applyBorder="1" applyAlignment="1">
      <alignment horizontal="center"/>
    </xf>
    <xf numFmtId="0" fontId="5" fillId="0" borderId="16" xfId="0" applyFont="1" applyBorder="1" applyAlignment="1">
      <alignment horizontal="center" vertical="center"/>
    </xf>
    <xf numFmtId="44" fontId="4" fillId="0" borderId="0" xfId="23" applyFont="1" applyFill="1" applyBorder="1" applyAlignment="1">
      <alignment horizontal="center"/>
    </xf>
    <xf numFmtId="164" fontId="4" fillId="0" borderId="11" xfId="8" applyNumberFormat="1" applyFont="1" applyBorder="1" applyAlignment="1">
      <alignment horizontal="right"/>
    </xf>
    <xf numFmtId="42" fontId="5" fillId="0" borderId="0" xfId="48" applyNumberFormat="1" applyFont="1" applyFill="1" applyBorder="1" applyAlignment="1">
      <alignment horizontal="center"/>
    </xf>
    <xf numFmtId="164" fontId="4" fillId="0" borderId="11" xfId="0" applyNumberFormat="1" applyFont="1" applyBorder="1" applyAlignment="1">
      <alignment horizontal="center"/>
    </xf>
    <xf numFmtId="14" fontId="4" fillId="0" borderId="2" xfId="8" applyNumberFormat="1" applyFont="1" applyBorder="1" applyAlignment="1">
      <alignment horizontal="center"/>
    </xf>
    <xf numFmtId="44" fontId="21" fillId="0" borderId="0" xfId="8" applyNumberFormat="1" applyFont="1" applyFill="1" applyBorder="1" applyAlignment="1">
      <alignment horizontal="center"/>
    </xf>
    <xf numFmtId="42" fontId="4" fillId="0" borderId="11" xfId="8" applyNumberFormat="1" applyFont="1" applyBorder="1" applyAlignment="1">
      <alignment horizontal="center"/>
    </xf>
    <xf numFmtId="164" fontId="4" fillId="0" borderId="11" xfId="8" applyNumberFormat="1" applyFont="1" applyFill="1" applyBorder="1" applyAlignment="1">
      <alignment horizontal="right"/>
    </xf>
    <xf numFmtId="44" fontId="21" fillId="0" borderId="11" xfId="0" applyNumberFormat="1" applyFont="1" applyBorder="1" applyAlignment="1">
      <alignment horizontal="center"/>
    </xf>
    <xf numFmtId="166" fontId="4" fillId="0" borderId="0" xfId="8" applyNumberFormat="1" applyFont="1" applyBorder="1" applyAlignment="1">
      <alignment horizontal="left"/>
    </xf>
    <xf numFmtId="164" fontId="4" fillId="0" borderId="11" xfId="23" applyNumberFormat="1" applyFont="1" applyFill="1" applyBorder="1" applyAlignment="1">
      <alignment horizontal="center"/>
    </xf>
    <xf numFmtId="9" fontId="4" fillId="0" borderId="11" xfId="48" applyFont="1" applyFill="1" applyBorder="1" applyAlignment="1">
      <alignment horizontal="center"/>
    </xf>
    <xf numFmtId="165" fontId="4" fillId="0" borderId="0" xfId="8" applyFont="1" applyBorder="1" applyAlignment="1">
      <alignment horizontal="left"/>
    </xf>
    <xf numFmtId="0" fontId="11" fillId="0" borderId="11" xfId="0" applyFont="1" applyBorder="1" applyAlignment="1">
      <alignment horizontal="center"/>
    </xf>
    <xf numFmtId="168" fontId="4" fillId="0" borderId="11" xfId="0" applyNumberFormat="1" applyFont="1" applyBorder="1" applyAlignment="1">
      <alignment horizontal="center"/>
    </xf>
    <xf numFmtId="14" fontId="4" fillId="3" borderId="16" xfId="0" applyNumberFormat="1" applyFont="1" applyFill="1" applyBorder="1" applyAlignment="1">
      <alignment horizontal="left"/>
    </xf>
    <xf numFmtId="14" fontId="5" fillId="0" borderId="11" xfId="0" applyNumberFormat="1" applyFont="1" applyBorder="1" applyAlignment="1">
      <alignment horizontal="left"/>
    </xf>
    <xf numFmtId="164" fontId="21" fillId="0" borderId="11" xfId="8" applyNumberFormat="1" applyFont="1" applyFill="1" applyBorder="1" applyAlignment="1">
      <alignment horizontal="center"/>
    </xf>
    <xf numFmtId="14" fontId="21" fillId="0" borderId="11" xfId="0" applyNumberFormat="1" applyFont="1" applyBorder="1" applyAlignment="1">
      <alignment horizontal="center"/>
    </xf>
    <xf numFmtId="14" fontId="21" fillId="0" borderId="11" xfId="0" applyNumberFormat="1" applyFont="1" applyBorder="1" applyAlignment="1">
      <alignment horizontal="left"/>
    </xf>
  </cellXfs>
  <cellStyles count="59">
    <cellStyle name="Comma" xfId="1" builtinId="3"/>
    <cellStyle name="Comma 2" xfId="2" xr:uid="{00000000-0005-0000-0000-000001000000}"/>
    <cellStyle name="Comma 2 2" xfId="3" xr:uid="{00000000-0005-0000-0000-000002000000}"/>
    <cellStyle name="Comma 2 3" xfId="4" xr:uid="{00000000-0005-0000-0000-000003000000}"/>
    <cellStyle name="Comma 2 4" xfId="5" xr:uid="{00000000-0005-0000-0000-000004000000}"/>
    <cellStyle name="Comma 3" xfId="6" xr:uid="{00000000-0005-0000-0000-000005000000}"/>
    <cellStyle name="Comma 4" xfId="7" xr:uid="{00000000-0005-0000-0000-000006000000}"/>
    <cellStyle name="Currency" xfId="8" builtinId="4"/>
    <cellStyle name="Currency 2 2" xfId="9" xr:uid="{00000000-0005-0000-0000-000008000000}"/>
    <cellStyle name="Currency 2 2 2" xfId="10" xr:uid="{00000000-0005-0000-0000-000009000000}"/>
    <cellStyle name="Currency 2 3" xfId="11" xr:uid="{00000000-0005-0000-0000-00000A000000}"/>
    <cellStyle name="Currency 2 4" xfId="12" xr:uid="{00000000-0005-0000-0000-00000B000000}"/>
    <cellStyle name="Currency 3" xfId="13" xr:uid="{00000000-0005-0000-0000-00000C000000}"/>
    <cellStyle name="Currency 4" xfId="14" xr:uid="{00000000-0005-0000-0000-00000D000000}"/>
    <cellStyle name="Currency 4 2" xfId="15" xr:uid="{00000000-0005-0000-0000-00000E000000}"/>
    <cellStyle name="Currency 5" xfId="16" xr:uid="{00000000-0005-0000-0000-00000F000000}"/>
    <cellStyle name="Currency 5 2" xfId="17" xr:uid="{00000000-0005-0000-0000-000010000000}"/>
    <cellStyle name="Currency 6 2" xfId="18" xr:uid="{00000000-0005-0000-0000-000011000000}"/>
    <cellStyle name="Currency 7" xfId="19" xr:uid="{00000000-0005-0000-0000-000012000000}"/>
    <cellStyle name="Currency 7 2" xfId="20" xr:uid="{00000000-0005-0000-0000-000013000000}"/>
    <cellStyle name="Currency 8 2" xfId="21" xr:uid="{00000000-0005-0000-0000-000014000000}"/>
    <cellStyle name="Currency 9" xfId="22" xr:uid="{00000000-0005-0000-0000-000015000000}"/>
    <cellStyle name="Currency_SF" xfId="23" xr:uid="{00000000-0005-0000-0000-000016000000}"/>
    <cellStyle name="Normal" xfId="0" builtinId="0"/>
    <cellStyle name="Normal 10" xfId="24" xr:uid="{00000000-0005-0000-0000-000018000000}"/>
    <cellStyle name="Normal 2" xfId="25" xr:uid="{00000000-0005-0000-0000-000019000000}"/>
    <cellStyle name="Normal 2 2" xfId="26" xr:uid="{00000000-0005-0000-0000-00001A000000}"/>
    <cellStyle name="Normal 2 2 2" xfId="27" xr:uid="{00000000-0005-0000-0000-00001B000000}"/>
    <cellStyle name="Normal 2 3" xfId="28" xr:uid="{00000000-0005-0000-0000-00001C000000}"/>
    <cellStyle name="Normal 2 4" xfId="29" xr:uid="{00000000-0005-0000-0000-00001D000000}"/>
    <cellStyle name="Normal 2 5" xfId="30" xr:uid="{00000000-0005-0000-0000-00001E000000}"/>
    <cellStyle name="Normal 2 6" xfId="31" xr:uid="{00000000-0005-0000-0000-00001F000000}"/>
    <cellStyle name="Normal 2 7" xfId="32" xr:uid="{00000000-0005-0000-0000-000020000000}"/>
    <cellStyle name="Normal 3 2" xfId="33" xr:uid="{00000000-0005-0000-0000-000021000000}"/>
    <cellStyle name="Normal 3 3" xfId="34" xr:uid="{00000000-0005-0000-0000-000022000000}"/>
    <cellStyle name="Normal 4" xfId="35" xr:uid="{00000000-0005-0000-0000-000023000000}"/>
    <cellStyle name="Normal 4 2" xfId="36" xr:uid="{00000000-0005-0000-0000-000024000000}"/>
    <cellStyle name="Normal 5" xfId="37" xr:uid="{00000000-0005-0000-0000-000025000000}"/>
    <cellStyle name="Normal 5 2" xfId="38" xr:uid="{00000000-0005-0000-0000-000026000000}"/>
    <cellStyle name="Normal 6 2" xfId="39" xr:uid="{00000000-0005-0000-0000-000027000000}"/>
    <cellStyle name="Normal 6 3" xfId="40" xr:uid="{00000000-0005-0000-0000-000028000000}"/>
    <cellStyle name="Normal 6 4" xfId="41" xr:uid="{00000000-0005-0000-0000-000029000000}"/>
    <cellStyle name="Normal 6 5" xfId="42" xr:uid="{00000000-0005-0000-0000-00002A000000}"/>
    <cellStyle name="Normal 7 2" xfId="43" xr:uid="{00000000-0005-0000-0000-00002B000000}"/>
    <cellStyle name="Normal 8" xfId="44" xr:uid="{00000000-0005-0000-0000-00002C000000}"/>
    <cellStyle name="Normal 8 2" xfId="45" xr:uid="{00000000-0005-0000-0000-00002D000000}"/>
    <cellStyle name="Normal 8 3" xfId="46" xr:uid="{00000000-0005-0000-0000-00002E000000}"/>
    <cellStyle name="Normal 9" xfId="47" xr:uid="{00000000-0005-0000-0000-00002F000000}"/>
    <cellStyle name="Percent" xfId="48" builtinId="5"/>
    <cellStyle name="Percent 2 2" xfId="49" xr:uid="{00000000-0005-0000-0000-000031000000}"/>
    <cellStyle name="Percent 2 2 2" xfId="50" xr:uid="{00000000-0005-0000-0000-000032000000}"/>
    <cellStyle name="Percent 2 3" xfId="51" xr:uid="{00000000-0005-0000-0000-000033000000}"/>
    <cellStyle name="Percent 2 4" xfId="52" xr:uid="{00000000-0005-0000-0000-000034000000}"/>
    <cellStyle name="Percent 3" xfId="53" xr:uid="{00000000-0005-0000-0000-000035000000}"/>
    <cellStyle name="Percent 4" xfId="54" xr:uid="{00000000-0005-0000-0000-000036000000}"/>
    <cellStyle name="Percent 5" xfId="55" xr:uid="{00000000-0005-0000-0000-000037000000}"/>
    <cellStyle name="Percent 7" xfId="56" xr:uid="{00000000-0005-0000-0000-000038000000}"/>
    <cellStyle name="Percent 8 2" xfId="57" xr:uid="{00000000-0005-0000-0000-000039000000}"/>
    <cellStyle name="Percent 9" xfId="58" xr:uid="{00000000-0005-0000-0000-00003A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R101"/>
  <sheetViews>
    <sheetView tabSelected="1" zoomScale="110" zoomScaleNormal="110" workbookViewId="0">
      <selection activeCell="C3" sqref="C3"/>
    </sheetView>
  </sheetViews>
  <sheetFormatPr defaultColWidth="9.125" defaultRowHeight="12"/>
  <cols>
    <col min="1" max="1" width="38.625" style="13" customWidth="1"/>
    <col min="2" max="2" width="20" style="34" bestFit="1" customWidth="1"/>
    <col min="3" max="3" width="17.75" style="13" bestFit="1" customWidth="1"/>
    <col min="4" max="4" width="16.125" style="34" bestFit="1" customWidth="1"/>
    <col min="5" max="5" width="15.125" style="34" bestFit="1" customWidth="1"/>
    <col min="6" max="6" width="17.375" style="13" customWidth="1"/>
    <col min="7" max="7" width="16.125" style="13" bestFit="1" customWidth="1"/>
    <col min="8" max="8" width="16.375" style="13" bestFit="1" customWidth="1"/>
    <col min="9" max="9" width="17.75" style="13" bestFit="1" customWidth="1"/>
    <col min="10" max="10" width="16.25" style="13" hidden="1" customWidth="1"/>
    <col min="11" max="11" width="15.125" style="13" bestFit="1" customWidth="1"/>
    <col min="12" max="15" width="9.125" style="13"/>
    <col min="16" max="16" width="16.125" style="13" customWidth="1"/>
    <col min="17" max="17" width="16.125" style="13" bestFit="1" customWidth="1"/>
    <col min="18" max="18" width="12.875" style="13" bestFit="1" customWidth="1"/>
    <col min="19" max="19" width="13.875" style="13" bestFit="1" customWidth="1"/>
    <col min="20" max="16384" width="9.125" style="13"/>
  </cols>
  <sheetData>
    <row r="1" spans="1:18">
      <c r="A1" s="210"/>
      <c r="B1" s="151"/>
      <c r="C1" s="49"/>
      <c r="F1" s="49"/>
      <c r="H1" s="101"/>
    </row>
    <row r="2" spans="1:18">
      <c r="G2" s="145"/>
      <c r="H2" s="10"/>
    </row>
    <row r="3" spans="1:18" s="1" customFormat="1">
      <c r="A3" s="43" t="s">
        <v>443</v>
      </c>
      <c r="B3" s="13"/>
      <c r="C3" s="7">
        <v>44379</v>
      </c>
      <c r="D3" s="142"/>
      <c r="E3" s="391"/>
      <c r="F3" s="14"/>
      <c r="G3" s="207"/>
      <c r="H3" s="206"/>
      <c r="I3" s="83"/>
    </row>
    <row r="4" spans="1:18" s="1" customFormat="1">
      <c r="A4" s="210"/>
      <c r="B4" s="13"/>
      <c r="C4" s="167"/>
      <c r="D4" s="167"/>
      <c r="E4" s="167"/>
      <c r="F4" s="167"/>
      <c r="G4" s="167"/>
      <c r="H4" s="167"/>
      <c r="I4" s="167"/>
    </row>
    <row r="5" spans="1:18" s="1" customFormat="1">
      <c r="A5" s="210"/>
      <c r="B5" s="101">
        <f>SUM(C5:I5)</f>
        <v>1</v>
      </c>
      <c r="C5" s="15">
        <v>0.32250000000000001</v>
      </c>
      <c r="D5" s="15">
        <v>0.1</v>
      </c>
      <c r="E5" s="15">
        <v>0.02</v>
      </c>
      <c r="F5" s="209">
        <v>2.6249999999999999E-2</v>
      </c>
      <c r="G5" s="208">
        <v>5.2499999999999998E-2</v>
      </c>
      <c r="H5" s="208">
        <v>0.18375</v>
      </c>
      <c r="I5" s="125">
        <v>0.29499999999999998</v>
      </c>
    </row>
    <row r="6" spans="1:18" s="1" customFormat="1">
      <c r="A6" s="210"/>
      <c r="B6" s="49"/>
      <c r="C6" s="79" t="s">
        <v>56</v>
      </c>
      <c r="D6" s="79" t="s">
        <v>57</v>
      </c>
      <c r="E6" s="79" t="s">
        <v>58</v>
      </c>
      <c r="F6" s="79" t="s">
        <v>59</v>
      </c>
      <c r="G6" s="79" t="s">
        <v>59</v>
      </c>
      <c r="H6" s="79" t="s">
        <v>59</v>
      </c>
      <c r="I6" s="79" t="s">
        <v>60</v>
      </c>
      <c r="J6" s="322" t="s">
        <v>187</v>
      </c>
      <c r="O6" s="334" t="s">
        <v>202</v>
      </c>
      <c r="P6" s="335" t="s">
        <v>204</v>
      </c>
    </row>
    <row r="7" spans="1:18" s="1" customFormat="1">
      <c r="A7" s="43"/>
      <c r="B7" s="90" t="s">
        <v>15</v>
      </c>
      <c r="C7" s="91" t="s">
        <v>33</v>
      </c>
      <c r="D7" s="89" t="s">
        <v>25</v>
      </c>
      <c r="E7" s="89" t="s">
        <v>3</v>
      </c>
      <c r="F7" s="92" t="s">
        <v>52</v>
      </c>
      <c r="G7" s="92" t="s">
        <v>13</v>
      </c>
      <c r="H7" s="92" t="s">
        <v>20</v>
      </c>
      <c r="I7" s="90" t="s">
        <v>16</v>
      </c>
      <c r="J7" s="323" t="s">
        <v>184</v>
      </c>
      <c r="O7" s="336" t="s">
        <v>203</v>
      </c>
      <c r="P7" s="337" t="s">
        <v>205</v>
      </c>
    </row>
    <row r="8" spans="1:18" s="1" customFormat="1">
      <c r="A8" s="150" t="s">
        <v>448</v>
      </c>
      <c r="B8" s="308">
        <f>31290831*130</f>
        <v>4067808030</v>
      </c>
      <c r="C8" s="309">
        <f>ROUND(C5*$B$8,0)</f>
        <v>1311868090</v>
      </c>
      <c r="D8" s="309">
        <f t="shared" ref="D8:I8" si="0">ROUND(D5*$B$8,0)</f>
        <v>406780803</v>
      </c>
      <c r="E8" s="309">
        <f>ROUND(E5*$B$8,0)-1</f>
        <v>81356160</v>
      </c>
      <c r="F8" s="309">
        <f t="shared" si="0"/>
        <v>106779961</v>
      </c>
      <c r="G8" s="309">
        <f t="shared" si="0"/>
        <v>213559922</v>
      </c>
      <c r="H8" s="309">
        <f>ROUND(H5*$B$8,0)-1</f>
        <v>747459725</v>
      </c>
      <c r="I8" s="310">
        <f t="shared" si="0"/>
        <v>1200003369</v>
      </c>
      <c r="J8" s="324">
        <f>'Aug 15'!E1</f>
        <v>2054403985.75</v>
      </c>
      <c r="K8" s="9"/>
      <c r="O8" s="87" t="s">
        <v>189</v>
      </c>
      <c r="P8" s="338">
        <v>2.9717172510821135E-2</v>
      </c>
      <c r="Q8" s="167"/>
      <c r="R8" s="83"/>
    </row>
    <row r="9" spans="1:18" s="1" customFormat="1">
      <c r="A9" s="43"/>
      <c r="B9" s="139"/>
      <c r="C9" s="63"/>
      <c r="D9" s="63"/>
      <c r="E9" s="63"/>
      <c r="F9" s="63"/>
      <c r="G9" s="63"/>
      <c r="H9" s="63"/>
      <c r="I9" s="311"/>
      <c r="J9" s="325"/>
      <c r="K9" s="83"/>
      <c r="O9" s="87" t="s">
        <v>190</v>
      </c>
      <c r="P9" s="338">
        <v>1.8840984227241904E-2</v>
      </c>
      <c r="Q9" s="167"/>
      <c r="R9" s="83"/>
    </row>
    <row r="10" spans="1:18" s="1" customFormat="1">
      <c r="A10" s="43" t="s">
        <v>67</v>
      </c>
      <c r="B10" s="139">
        <f>SUM(C10:J10)</f>
        <v>5830614158</v>
      </c>
      <c r="C10" s="63">
        <f>'SC1 MRB'!$J$13</f>
        <v>207845000</v>
      </c>
      <c r="D10" s="63">
        <f>+'SC2 State Voted'!H10</f>
        <v>150000000</v>
      </c>
      <c r="E10" s="63">
        <f>+'SC3 Small Issue IDBs'!H10</f>
        <v>0</v>
      </c>
      <c r="F10" s="63">
        <f>'SC4 TSAHC'!H10</f>
        <v>40000000</v>
      </c>
      <c r="G10" s="63">
        <f>+'SC4 MF- TDHCA'!H12</f>
        <v>61500000</v>
      </c>
      <c r="H10" s="312">
        <f>'REGION 1'!H10+'REGION 2'!H9+'REGION 3'!H28+'REGION 4'!H9+'REGION 5'!H10+'REGION 6'!H25+'REGION 7'!H26+'REGION 8'!H9+'REGION 9'!H11+'REGION 10'!H9+'REGION 11'!H10+'REGION 12'!H9+'REGION 13'!H10+'SC4 MF- Local Collapse'!H54</f>
        <v>1886610948</v>
      </c>
      <c r="I10" s="311">
        <f>'SC5 OTHER'!$H$97</f>
        <v>3484658210</v>
      </c>
      <c r="J10" s="326">
        <f>'Aug 15'!H11</f>
        <v>0</v>
      </c>
      <c r="K10" s="2"/>
      <c r="O10" s="87" t="s">
        <v>191</v>
      </c>
      <c r="P10" s="338">
        <v>0.27601652467507426</v>
      </c>
      <c r="Q10" s="167"/>
      <c r="R10" s="83"/>
    </row>
    <row r="11" spans="1:18" s="1" customFormat="1">
      <c r="B11" s="139"/>
      <c r="C11" s="63"/>
      <c r="D11" s="63"/>
      <c r="E11" s="63"/>
      <c r="F11" s="63"/>
      <c r="G11" s="63"/>
      <c r="H11" s="63"/>
      <c r="I11" s="311"/>
      <c r="J11" s="325"/>
      <c r="K11" s="2"/>
      <c r="O11" s="87" t="s">
        <v>192</v>
      </c>
      <c r="P11" s="338">
        <v>3.9456959143442528E-2</v>
      </c>
      <c r="Q11" s="167"/>
      <c r="R11" s="83"/>
    </row>
    <row r="12" spans="1:18" s="1" customFormat="1">
      <c r="A12" s="1" t="s">
        <v>64</v>
      </c>
      <c r="B12" s="139">
        <f>SUM(C12:J12)</f>
        <v>5202961421</v>
      </c>
      <c r="C12" s="63">
        <f>'SC1 MRB'!$K$13</f>
        <v>207845000</v>
      </c>
      <c r="D12" s="63">
        <f>+'SC2 State Voted'!I10</f>
        <v>150000000</v>
      </c>
      <c r="E12" s="63">
        <f>+'SC3 Small Issue IDBs'!I10</f>
        <v>0</v>
      </c>
      <c r="F12" s="63">
        <f>'SC4 TSAHC'!I10</f>
        <v>40000000</v>
      </c>
      <c r="G12" s="63">
        <f>'SC4 MF- TDHCA'!I12</f>
        <v>61500000</v>
      </c>
      <c r="H12" s="63">
        <f>'REGION 1'!I10+'REGION 2'!I9+'REGION 3'!I28+'REGION 4'!I9+'REGION 5'!I10+'REGION 6'!I25+'REGION 7'!I26+'REGION 8'!I9+'REGION 9'!I11+'REGION 10'!I9+'REGION 11'!I10+'REGION 12'!I9+'REGION 13'!I10+'SC4 MF- Local Collapse'!I54</f>
        <v>1373958211</v>
      </c>
      <c r="I12" s="311">
        <f>'SC5 OTHER'!$I$97</f>
        <v>3369658210</v>
      </c>
      <c r="J12" s="327">
        <f>'Aug 15'!K11</f>
        <v>0</v>
      </c>
      <c r="K12" s="2"/>
      <c r="O12" s="87" t="s">
        <v>193</v>
      </c>
      <c r="P12" s="338">
        <v>2.6372334258747618E-2</v>
      </c>
      <c r="Q12" s="167"/>
      <c r="R12" s="83"/>
    </row>
    <row r="13" spans="1:18" s="1" customFormat="1">
      <c r="B13" s="139"/>
      <c r="C13" s="63"/>
      <c r="D13" s="63"/>
      <c r="E13" s="63"/>
      <c r="F13" s="63"/>
      <c r="G13" s="63"/>
      <c r="H13" s="63"/>
      <c r="I13" s="311"/>
      <c r="J13" s="325"/>
      <c r="K13" s="9"/>
      <c r="O13" s="87" t="s">
        <v>194</v>
      </c>
      <c r="P13" s="338">
        <v>0.25036526215620558</v>
      </c>
      <c r="Q13" s="167"/>
      <c r="R13" s="83"/>
    </row>
    <row r="14" spans="1:18" s="1" customFormat="1">
      <c r="A14" s="1" t="s">
        <v>63</v>
      </c>
      <c r="B14" s="139">
        <f>SUM(C14:J14)</f>
        <v>3496748458</v>
      </c>
      <c r="C14" s="63">
        <f>'SC1 MRB'!N13</f>
        <v>196942984</v>
      </c>
      <c r="D14" s="63">
        <f>'SC2 State Voted'!L10</f>
        <v>150000000</v>
      </c>
      <c r="E14" s="63">
        <f>'SC3 Small Issue IDBs'!L10</f>
        <v>0</v>
      </c>
      <c r="F14" s="63">
        <f>'SC4 TSAHC'!L10</f>
        <v>40000000</v>
      </c>
      <c r="G14" s="63">
        <f>'SC4 MF- TDHCA'!L12</f>
        <v>56500000</v>
      </c>
      <c r="H14" s="63">
        <f>'REGION 1'!L10+'REGION 2'!L9+'REGION 3'!L28+'REGION 4'!L9+'REGION 5'!L10+'REGION 6'!L25+'REGION 7'!L26+'REGION 8'!L9+'REGION 9'!L11+'REGION 10'!L9+'REGION 11'!L10+'REGION 12'!L9+'REGION 13'!L10+'SC4 MF- Local Collapse'!L54</f>
        <v>971652737</v>
      </c>
      <c r="I14" s="311">
        <f>'SC5 OTHER'!L97</f>
        <v>2081652737</v>
      </c>
      <c r="J14" s="327">
        <f>'Aug 15'!N11</f>
        <v>0</v>
      </c>
      <c r="O14" s="87" t="s">
        <v>195</v>
      </c>
      <c r="P14" s="338">
        <v>8.2586697331200817E-2</v>
      </c>
      <c r="Q14" s="167"/>
      <c r="R14" s="83"/>
    </row>
    <row r="15" spans="1:18" s="1" customFormat="1">
      <c r="B15" s="139"/>
      <c r="C15" s="63"/>
      <c r="D15" s="63"/>
      <c r="E15" s="63"/>
      <c r="F15" s="63"/>
      <c r="G15" s="63"/>
      <c r="H15" s="63"/>
      <c r="I15" s="311"/>
      <c r="J15" s="325"/>
      <c r="K15" s="9"/>
      <c r="O15" s="87" t="s">
        <v>196</v>
      </c>
      <c r="P15" s="338">
        <v>4.3034457629058068E-2</v>
      </c>
      <c r="Q15" s="167"/>
      <c r="R15" s="83"/>
    </row>
    <row r="16" spans="1:18" s="1" customFormat="1">
      <c r="A16" s="1" t="s">
        <v>65</v>
      </c>
      <c r="B16" s="139">
        <f>SUM(C16:J16)</f>
        <v>300898570.25</v>
      </c>
      <c r="C16" s="63">
        <f>'SC1 MRB'!$P$13</f>
        <v>0</v>
      </c>
      <c r="D16" s="63">
        <f>+'SC2 State Voted'!N10</f>
        <v>99734175.049999997</v>
      </c>
      <c r="E16" s="63">
        <f>+'SC3 Small Issue IDBs'!N10</f>
        <v>0</v>
      </c>
      <c r="F16" s="63">
        <f>'SC4 TSAHC'!N10</f>
        <v>0</v>
      </c>
      <c r="G16" s="63">
        <f>+'SC4 MF- TDHCA'!N12</f>
        <v>0</v>
      </c>
      <c r="H16" s="63">
        <f>'REGION 1'!N10+'REGION 2'!N9+'REGION 3'!N28+'REGION 4'!N9+'REGION 5'!N10+'REGION 6'!N25+'REGION 7'!N26+'REGION 8'!N9+'REGION 9'!N11+'REGION 10'!N9+'REGION 11'!N10+'REGION 12'!N9+'REGION 13'!N10+'SC4 MF- Local Collapse'!N54</f>
        <v>16500000</v>
      </c>
      <c r="I16" s="311">
        <f>'SC5 OTHER'!N97</f>
        <v>184664395.19999999</v>
      </c>
      <c r="J16" s="327">
        <f>'Aug 15'!P11</f>
        <v>0</v>
      </c>
      <c r="K16" s="2"/>
      <c r="O16" s="87" t="s">
        <v>197</v>
      </c>
      <c r="P16" s="338">
        <v>9.1628571884412369E-2</v>
      </c>
      <c r="Q16" s="167"/>
      <c r="R16" s="83"/>
    </row>
    <row r="17" spans="1:18" s="1" customFormat="1">
      <c r="B17" s="139"/>
      <c r="C17" s="63"/>
      <c r="D17" s="63"/>
      <c r="E17" s="63"/>
      <c r="F17" s="63"/>
      <c r="G17" s="63"/>
      <c r="H17" s="63"/>
      <c r="I17" s="311"/>
      <c r="J17" s="325"/>
      <c r="K17" s="83"/>
      <c r="O17" s="87" t="s">
        <v>198</v>
      </c>
      <c r="P17" s="338">
        <v>2.66220468645165E-2</v>
      </c>
      <c r="Q17" s="167"/>
      <c r="R17" s="83"/>
    </row>
    <row r="18" spans="1:18" s="1" customFormat="1">
      <c r="A18" s="1" t="s">
        <v>50</v>
      </c>
      <c r="B18" s="139">
        <f>SUM(C18:J18)</f>
        <v>2827557376.75</v>
      </c>
      <c r="C18" s="63">
        <f>'SC1 MRB'!$Q$13</f>
        <v>207845000</v>
      </c>
      <c r="D18" s="63">
        <f>+'SC2 State Voted'!O10</f>
        <v>50265824.950000003</v>
      </c>
      <c r="E18" s="63">
        <f>+'SC3 Small Issue IDBs'!O10</f>
        <v>0</v>
      </c>
      <c r="F18" s="63">
        <f>'SC4 TSAHC'!O10</f>
        <v>23500000</v>
      </c>
      <c r="G18" s="63">
        <f>+'SC4 MF- TDHCA'!O12</f>
        <v>5000000</v>
      </c>
      <c r="H18" s="63">
        <f>'REGION 1'!O10+'REGION 2'!O9+'REGION 3'!O28+'REGION 4'!O9+'REGION 5'!O10+'REGION 6'!O25+'REGION 7'!O26+'REGION 8'!O9+'REGION 9'!O11+'REGION 10'!O9+'REGION 11'!O10+'REGION 12'!O9+'REGION 13'!O10+'SC4 MF- Local Collapse'!O54</f>
        <v>511152737</v>
      </c>
      <c r="I18" s="311">
        <f>'SC5 OTHER'!O97</f>
        <v>2029793814.8</v>
      </c>
      <c r="J18" s="327">
        <f>'Aug 15'!Q11</f>
        <v>0</v>
      </c>
      <c r="O18" s="87" t="s">
        <v>199</v>
      </c>
      <c r="P18" s="338">
        <v>6.2651787985831778E-2</v>
      </c>
      <c r="Q18" s="167"/>
      <c r="R18" s="83"/>
    </row>
    <row r="19" spans="1:18" s="1" customFormat="1">
      <c r="A19" s="43"/>
      <c r="B19" s="139"/>
      <c r="C19" s="63"/>
      <c r="D19" s="63"/>
      <c r="E19" s="63"/>
      <c r="F19" s="63"/>
      <c r="G19" s="63"/>
      <c r="H19" s="63"/>
      <c r="I19" s="311"/>
      <c r="J19" s="325"/>
      <c r="O19" s="87" t="s">
        <v>200</v>
      </c>
      <c r="P19" s="338">
        <v>2.2214677700729494E-2</v>
      </c>
      <c r="Q19" s="167"/>
      <c r="R19" s="83"/>
    </row>
    <row r="20" spans="1:18" s="1" customFormat="1">
      <c r="A20" s="43" t="s">
        <v>29</v>
      </c>
      <c r="B20" s="139">
        <f>SUM(C20:J20)</f>
        <v>627652737</v>
      </c>
      <c r="C20" s="63">
        <f>+C10-C12</f>
        <v>0</v>
      </c>
      <c r="D20" s="63">
        <f t="shared" ref="D20:F20" si="1">+D10-D12</f>
        <v>0</v>
      </c>
      <c r="E20" s="63">
        <f t="shared" si="1"/>
        <v>0</v>
      </c>
      <c r="F20" s="63">
        <f t="shared" si="1"/>
        <v>0</v>
      </c>
      <c r="G20" s="63">
        <f>+G10-G12</f>
        <v>0</v>
      </c>
      <c r="H20" s="63">
        <f>+H10-H12</f>
        <v>512652737</v>
      </c>
      <c r="I20" s="311">
        <f>+I10-I12</f>
        <v>115000000</v>
      </c>
      <c r="J20" s="327">
        <f>'Aug 15'!H13</f>
        <v>0</v>
      </c>
      <c r="O20" s="339" t="s">
        <v>201</v>
      </c>
      <c r="P20" s="340">
        <v>3.0492523632717979E-2</v>
      </c>
      <c r="Q20" s="167"/>
      <c r="R20" s="83"/>
    </row>
    <row r="21" spans="1:18" s="1" customFormat="1">
      <c r="A21" s="43"/>
      <c r="B21" s="139"/>
      <c r="C21" s="63"/>
      <c r="D21" s="63"/>
      <c r="E21" s="63"/>
      <c r="F21" s="63"/>
      <c r="G21" s="63"/>
      <c r="H21" s="63"/>
      <c r="I21" s="311"/>
      <c r="J21" s="325"/>
      <c r="Q21" s="168"/>
    </row>
    <row r="22" spans="1:18" s="1" customFormat="1">
      <c r="A22" s="48" t="s">
        <v>450</v>
      </c>
      <c r="B22" s="477">
        <f>'Aug 15'!H15</f>
        <v>2054403985.75</v>
      </c>
      <c r="C22" s="85">
        <f>+C8-C12+C18+'SC1 MRB'!G21</f>
        <v>1311868090</v>
      </c>
      <c r="D22" s="85">
        <f>+D8-D12+D18+'SC2 State Voted'!G18</f>
        <v>307046627.94999999</v>
      </c>
      <c r="E22" s="85">
        <f>+E8-E12+E18+'SC3 Small Issue IDBs'!G18</f>
        <v>81356160</v>
      </c>
      <c r="F22" s="85">
        <f>+F8-F12+F18+'SC4 TSAHC'!G18</f>
        <v>90279961</v>
      </c>
      <c r="G22" s="85">
        <f>+G8-G12+G18+'SC4 MF- TDHCA'!G27</f>
        <v>213559922</v>
      </c>
      <c r="H22" s="85">
        <f>H8-H12+H18+SUM('REGION 1'!G19+'REGION 2'!G16+'REGION 3'!G38+'REGION 4'!G16+'REGION 5'!G16+'REGION 6'!G34+'REGION 7'!G34+'REGION 8'!G17+'REGION 9'!G18+'REGION 10'!G16+'REGION 11'!G17+'REGION 12'!G16+'REGION 13'!G17+'SC4 MF- Local Collapse'!G64)</f>
        <v>34654251</v>
      </c>
      <c r="I22" s="313">
        <f>+I8-I12+I18+'SC5 OTHER'!G112</f>
        <v>15638973.799999952</v>
      </c>
      <c r="J22" s="331">
        <f>J8-J12+J18+'Aug 15'!G24</f>
        <v>2054403985.75</v>
      </c>
      <c r="K22" s="9"/>
      <c r="Q22" s="167"/>
    </row>
    <row r="23" spans="1:18" s="1" customFormat="1">
      <c r="A23" s="48"/>
      <c r="B23" s="307"/>
      <c r="C23" s="63"/>
      <c r="D23" s="63"/>
      <c r="E23" s="63"/>
      <c r="F23" s="63"/>
      <c r="G23" s="63"/>
      <c r="H23" s="63"/>
      <c r="I23" s="311"/>
    </row>
    <row r="24" spans="1:18" s="1" customFormat="1">
      <c r="A24" s="48"/>
      <c r="B24" s="139"/>
      <c r="C24" s="63"/>
      <c r="D24" s="63"/>
      <c r="E24" s="63"/>
      <c r="F24" s="63"/>
      <c r="G24" s="63"/>
      <c r="H24" s="63"/>
      <c r="I24" s="311"/>
    </row>
    <row r="25" spans="1:18">
      <c r="A25" s="13" t="s">
        <v>260</v>
      </c>
      <c r="B25" s="418">
        <f>SUM(C25:I25)</f>
        <v>61566161.709999993</v>
      </c>
      <c r="C25" s="63">
        <f>'2022 CF'!M19</f>
        <v>0</v>
      </c>
      <c r="D25" s="63">
        <v>0</v>
      </c>
      <c r="E25" s="63">
        <v>0</v>
      </c>
      <c r="F25" s="63">
        <v>0</v>
      </c>
      <c r="G25" s="63">
        <v>0</v>
      </c>
      <c r="H25" s="63">
        <f>'2022 CF'!M6+'2022 CF'!M25</f>
        <v>55000318.549999997</v>
      </c>
      <c r="I25" s="311">
        <f>'2022 CF'!M23+'2022 CF'!M24+'2022 CF'!M30</f>
        <v>6565843.1599999964</v>
      </c>
    </row>
    <row r="26" spans="1:18">
      <c r="A26" s="13" t="s">
        <v>328</v>
      </c>
      <c r="B26" s="418">
        <f>SUM(C26:I26)</f>
        <v>602482584.42999971</v>
      </c>
      <c r="C26" s="63">
        <f>'2023 CF'!M32</f>
        <v>313066381.63</v>
      </c>
      <c r="D26" s="63">
        <v>0</v>
      </c>
      <c r="E26" s="63">
        <v>0</v>
      </c>
      <c r="F26" s="63">
        <v>0</v>
      </c>
      <c r="G26" s="63">
        <f>'2023 CF'!M6+'2023 CF'!M7</f>
        <v>29000000</v>
      </c>
      <c r="H26" s="63">
        <f>'2023 CF'!M10+'2023 CF'!M12+'2023 CF'!M35+'2023 CF'!M41</f>
        <v>84000000</v>
      </c>
      <c r="I26" s="311">
        <f>'2023 CF'!M11+'2023 CF'!M13+'2023 CF'!M14+'2023 CF'!M36+'2023 CF'!M37+'2023 CF'!M38+'2023 CF'!M39+'2023 CF'!M40</f>
        <v>176416202.79999971</v>
      </c>
    </row>
    <row r="27" spans="1:18">
      <c r="A27" s="13" t="s">
        <v>449</v>
      </c>
      <c r="B27" s="418">
        <f>SUM(C27:I27)</f>
        <v>1954616866.6700001</v>
      </c>
      <c r="C27" s="63">
        <f>'2024 CF'!M67</f>
        <v>1037404113.8</v>
      </c>
      <c r="D27" s="63">
        <v>0</v>
      </c>
      <c r="E27" s="63">
        <v>0</v>
      </c>
      <c r="F27" s="63">
        <f>'2024 CF'!M74</f>
        <v>0</v>
      </c>
      <c r="G27" s="63">
        <f>'2024 CF'!M6+'2024 CF'!M7+'2024 CF'!M72+'2024 CF'!M83+'2024 CF'!M84+'2024 CF'!M85</f>
        <v>61050000</v>
      </c>
      <c r="H27" s="63">
        <f>'2024 CF'!M11+'2024 CF'!M14+'2024 CF'!M16+'2024 CF'!M73+'2024 CF'!M76+'2024 CF'!M77+'2024 CF'!M78+'2024 CF'!M79+'2024 CF'!M81+'2024 CF'!M86+'2024 CF'!M87+'2024 CF'!M88+'2024 CF'!M89+'2024 CF'!M90+'2024 CF'!M91+'2024 CF'!M92+'2024 CF'!M93</f>
        <v>352620030</v>
      </c>
      <c r="I27" s="311">
        <f>'2024 CF'!M12+'2024 CF'!M15+'2024 CF'!M17+'2024 CF'!M18+'2024 CF'!M19+'2024 CF'!M22+'2024 CF'!M24+'2024 CF'!M25+'2024 CF'!M26+'2024 CF'!M70+'2024 CF'!M71+'2024 CF'!M75+'2024 CF'!M80+'2024 CF'!M82+'2024 CF'!M94+'2024 CF'!M95+'2024 CF'!M96+'2024 CF'!M97+'2024 CF'!M102</f>
        <v>503542722.87</v>
      </c>
    </row>
    <row r="28" spans="1:18">
      <c r="B28" s="419"/>
      <c r="C28" s="63"/>
      <c r="D28" s="63"/>
      <c r="E28" s="63"/>
      <c r="F28" s="63"/>
      <c r="G28" s="63"/>
      <c r="H28" s="63"/>
      <c r="I28" s="311"/>
      <c r="K28" s="49"/>
    </row>
    <row r="29" spans="1:18" ht="12" customHeight="1">
      <c r="B29" s="420">
        <f>SUM(B22:B28)</f>
        <v>4673069598.5599995</v>
      </c>
      <c r="C29" s="421">
        <f>SUM(C22:C28)</f>
        <v>2662338585.4300003</v>
      </c>
      <c r="D29" s="422">
        <f t="shared" ref="D29:H29" si="2">SUM(D22:D28)</f>
        <v>307046627.94999999</v>
      </c>
      <c r="E29" s="422">
        <f t="shared" si="2"/>
        <v>81356160</v>
      </c>
      <c r="F29" s="422">
        <f t="shared" si="2"/>
        <v>90279961</v>
      </c>
      <c r="G29" s="422">
        <f t="shared" si="2"/>
        <v>303609922</v>
      </c>
      <c r="H29" s="422">
        <f t="shared" si="2"/>
        <v>526274599.55000001</v>
      </c>
      <c r="I29" s="423">
        <f>SUM(I22:I28)</f>
        <v>702163742.62999964</v>
      </c>
      <c r="K29" s="49"/>
    </row>
    <row r="30" spans="1:18">
      <c r="B30" s="10"/>
      <c r="C30" s="10"/>
      <c r="D30" s="10"/>
      <c r="E30" s="10"/>
      <c r="F30" s="10"/>
      <c r="H30" s="10"/>
      <c r="I30" s="10"/>
      <c r="K30" s="49"/>
    </row>
    <row r="31" spans="1:18" ht="15.6">
      <c r="A31" s="15"/>
      <c r="B31" s="357"/>
      <c r="C31" s="357"/>
      <c r="D31" s="11"/>
      <c r="E31" s="10"/>
      <c r="F31" s="10"/>
      <c r="G31" s="355"/>
      <c r="H31" s="394"/>
      <c r="I31" s="355"/>
    </row>
    <row r="32" spans="1:18" ht="15.6">
      <c r="B32" s="357"/>
      <c r="C32" s="357"/>
      <c r="D32" s="11"/>
      <c r="E32" s="65"/>
      <c r="F32" s="398"/>
      <c r="G32" s="11"/>
      <c r="H32" s="10"/>
      <c r="I32" s="10"/>
    </row>
    <row r="33" spans="1:16" ht="15.6">
      <c r="B33" s="357"/>
      <c r="C33" s="357"/>
      <c r="D33" s="12"/>
      <c r="F33" s="398"/>
      <c r="G33" s="200"/>
      <c r="H33" s="200"/>
      <c r="I33" s="57"/>
    </row>
    <row r="34" spans="1:16" ht="15.6">
      <c r="A34" s="383" t="s">
        <v>284</v>
      </c>
      <c r="B34" s="384">
        <f>ROUND(0.017*$B$8,0)</f>
        <v>69152737</v>
      </c>
      <c r="C34" s="357"/>
      <c r="D34" s="12"/>
      <c r="E34" s="398"/>
      <c r="F34" s="398"/>
      <c r="G34" s="200"/>
      <c r="H34" s="200"/>
      <c r="I34"/>
    </row>
    <row r="35" spans="1:16" ht="15.6">
      <c r="A35" s="383" t="s">
        <v>285</v>
      </c>
      <c r="B35" s="384">
        <f>ROUND(0.034*$B$8,0)</f>
        <v>138305473</v>
      </c>
      <c r="C35" s="357"/>
      <c r="D35" s="200"/>
      <c r="E35" s="200"/>
      <c r="F35" s="200"/>
      <c r="G35" s="200"/>
      <c r="H35" s="200"/>
      <c r="I35" s="259"/>
    </row>
    <row r="36" spans="1:16" ht="15.6">
      <c r="B36" s="357"/>
      <c r="C36" s="357"/>
      <c r="D36" s="13"/>
      <c r="E36" s="13"/>
      <c r="G36"/>
      <c r="H36" s="200"/>
      <c r="I36" s="367"/>
    </row>
    <row r="37" spans="1:16" ht="15.6">
      <c r="B37" s="357"/>
      <c r="C37" s="380"/>
      <c r="D37" s="53"/>
      <c r="E37" s="53"/>
      <c r="F37" s="480"/>
      <c r="G37"/>
      <c r="H37" s="200"/>
      <c r="I37"/>
      <c r="J37" s="379"/>
      <c r="K37" s="379"/>
      <c r="L37" s="379"/>
      <c r="M37" s="379"/>
      <c r="N37" s="379"/>
      <c r="O37" s="379"/>
      <c r="P37" s="379"/>
    </row>
    <row r="38" spans="1:16" ht="15.6">
      <c r="B38" s="357"/>
      <c r="C38" s="357"/>
      <c r="D38" s="49"/>
      <c r="E38" s="95"/>
      <c r="F38" s="11"/>
      <c r="G38"/>
    </row>
    <row r="39" spans="1:16">
      <c r="B39" s="49"/>
      <c r="C39" s="95"/>
      <c r="D39" s="13"/>
      <c r="E39" s="13"/>
      <c r="F39" s="398"/>
      <c r="H39" s="10"/>
    </row>
    <row r="40" spans="1:16">
      <c r="B40" s="80"/>
      <c r="D40" s="98"/>
      <c r="E40" s="13"/>
      <c r="F40" s="398"/>
    </row>
    <row r="41" spans="1:16">
      <c r="B41" s="190"/>
      <c r="D41" s="78"/>
      <c r="E41" s="13"/>
      <c r="F41" s="398"/>
      <c r="H41" s="95"/>
    </row>
    <row r="42" spans="1:16" ht="13.2">
      <c r="B42" s="13"/>
      <c r="C42" s="99"/>
      <c r="D42" s="78"/>
      <c r="E42" s="13"/>
      <c r="F42" s="11"/>
    </row>
    <row r="43" spans="1:16" ht="13.2">
      <c r="C43" s="100"/>
      <c r="D43" s="78"/>
      <c r="E43" s="13"/>
      <c r="F43" s="11"/>
    </row>
    <row r="44" spans="1:16">
      <c r="B44"/>
      <c r="C44" s="80"/>
      <c r="D44" s="78"/>
      <c r="E44" s="13"/>
    </row>
    <row r="45" spans="1:16">
      <c r="B45" s="13"/>
      <c r="D45" s="13"/>
      <c r="E45" s="13"/>
    </row>
    <row r="46" spans="1:16">
      <c r="B46" s="13"/>
      <c r="D46" s="78"/>
      <c r="E46" s="13"/>
    </row>
    <row r="47" spans="1:16">
      <c r="B47" s="13"/>
      <c r="D47" s="13"/>
      <c r="E47" s="13"/>
      <c r="H47" s="78"/>
    </row>
    <row r="48" spans="1:16">
      <c r="B48" s="13"/>
      <c r="D48" s="13"/>
      <c r="E48" s="13"/>
    </row>
    <row r="49" spans="2:7">
      <c r="B49" s="13"/>
      <c r="D49" s="13"/>
      <c r="E49" s="13"/>
    </row>
    <row r="50" spans="2:7">
      <c r="B50" s="13"/>
      <c r="D50" s="13"/>
      <c r="E50" s="13"/>
    </row>
    <row r="51" spans="2:7">
      <c r="B51" s="13"/>
      <c r="D51" s="13"/>
      <c r="E51" s="13"/>
    </row>
    <row r="52" spans="2:7">
      <c r="B52" s="13"/>
      <c r="D52" s="13"/>
      <c r="E52" s="13"/>
    </row>
    <row r="53" spans="2:7">
      <c r="B53" s="13"/>
      <c r="D53" s="13"/>
      <c r="E53" s="13"/>
    </row>
    <row r="54" spans="2:7">
      <c r="B54" s="49"/>
      <c r="D54" s="13"/>
      <c r="E54" s="13"/>
    </row>
    <row r="55" spans="2:7">
      <c r="B55" s="61"/>
      <c r="D55" s="13"/>
      <c r="E55" s="13"/>
    </row>
    <row r="56" spans="2:7">
      <c r="B56" s="49"/>
      <c r="D56" s="13"/>
      <c r="E56" s="13"/>
    </row>
    <row r="57" spans="2:7">
      <c r="B57" s="49"/>
      <c r="D57" s="13"/>
      <c r="E57" s="13"/>
    </row>
    <row r="58" spans="2:7">
      <c r="B58" s="13"/>
      <c r="D58" s="13"/>
      <c r="E58" s="13"/>
      <c r="F58" s="80"/>
      <c r="G58" s="80"/>
    </row>
    <row r="59" spans="2:7">
      <c r="B59" s="13"/>
      <c r="D59" s="13"/>
      <c r="E59" s="13"/>
    </row>
    <row r="60" spans="2:7">
      <c r="B60" s="13"/>
      <c r="D60" s="13"/>
      <c r="E60" s="13"/>
    </row>
    <row r="61" spans="2:7">
      <c r="B61" s="13"/>
      <c r="D61" s="13"/>
      <c r="E61" s="13"/>
    </row>
    <row r="62" spans="2:7">
      <c r="B62" s="13"/>
      <c r="D62" s="13"/>
      <c r="E62" s="13"/>
    </row>
    <row r="63" spans="2:7">
      <c r="B63" s="13"/>
      <c r="D63" s="13"/>
      <c r="E63" s="13"/>
    </row>
    <row r="64" spans="2:7">
      <c r="B64" s="13"/>
      <c r="D64" s="13"/>
      <c r="E64" s="13"/>
    </row>
    <row r="65" spans="2:9">
      <c r="B65" s="13"/>
      <c r="D65" s="13"/>
      <c r="E65" s="13"/>
    </row>
    <row r="66" spans="2:9">
      <c r="B66" s="13"/>
      <c r="D66" s="13"/>
      <c r="E66" s="13"/>
    </row>
    <row r="67" spans="2:9">
      <c r="B67" s="13"/>
      <c r="D67" s="13"/>
      <c r="E67" s="13"/>
    </row>
    <row r="68" spans="2:9">
      <c r="B68" s="13"/>
      <c r="D68" s="13"/>
      <c r="E68" s="13"/>
    </row>
    <row r="69" spans="2:9">
      <c r="B69" s="13"/>
      <c r="D69" s="13"/>
      <c r="E69" s="13"/>
    </row>
    <row r="70" spans="2:9">
      <c r="B70" s="13"/>
      <c r="D70" s="13"/>
      <c r="E70" s="13"/>
    </row>
    <row r="71" spans="2:9">
      <c r="B71" s="13"/>
      <c r="D71" s="13"/>
      <c r="E71" s="13"/>
    </row>
    <row r="72" spans="2:9">
      <c r="B72" s="13"/>
      <c r="D72" s="13"/>
      <c r="E72" s="13"/>
    </row>
    <row r="73" spans="2:9">
      <c r="B73" s="13"/>
      <c r="D73" s="13"/>
      <c r="E73" s="13"/>
    </row>
    <row r="74" spans="2:9">
      <c r="B74" s="13"/>
      <c r="D74" s="13"/>
      <c r="E74" s="13"/>
      <c r="F74" s="78"/>
      <c r="G74" s="78"/>
    </row>
    <row r="75" spans="2:9">
      <c r="B75" s="13"/>
      <c r="D75" s="61"/>
      <c r="E75" s="61"/>
      <c r="F75" s="61"/>
      <c r="G75" s="61"/>
      <c r="I75" s="80"/>
    </row>
    <row r="76" spans="2:9">
      <c r="B76" s="13"/>
      <c r="D76" s="13"/>
      <c r="E76" s="13"/>
      <c r="F76" s="78"/>
      <c r="G76" s="78"/>
    </row>
    <row r="77" spans="2:9">
      <c r="B77" s="13"/>
      <c r="D77" s="13"/>
      <c r="E77" s="13"/>
      <c r="F77" s="80"/>
      <c r="G77" s="80"/>
    </row>
    <row r="78" spans="2:9">
      <c r="B78" s="13"/>
      <c r="C78" s="8"/>
      <c r="D78" s="13"/>
      <c r="E78" s="13"/>
    </row>
    <row r="79" spans="2:9">
      <c r="B79" s="13"/>
      <c r="D79" s="13"/>
      <c r="E79" s="13"/>
    </row>
    <row r="80" spans="2:9">
      <c r="B80" s="13"/>
      <c r="D80" s="13"/>
      <c r="E80" s="13"/>
    </row>
    <row r="81" s="13" customFormat="1"/>
    <row r="82" s="13" customFormat="1"/>
    <row r="83" s="13" customFormat="1"/>
    <row r="84" s="13" customFormat="1"/>
    <row r="85" s="13" customFormat="1"/>
    <row r="86" s="13" customFormat="1"/>
    <row r="87" s="13" customFormat="1"/>
    <row r="88" s="13" customFormat="1"/>
    <row r="89" s="13" customFormat="1"/>
    <row r="90" s="13" customFormat="1"/>
    <row r="91" s="13" customFormat="1"/>
    <row r="92" s="13" customFormat="1"/>
    <row r="93" s="13" customFormat="1"/>
    <row r="94" s="13" customFormat="1"/>
    <row r="95" s="13" customFormat="1"/>
    <row r="96" s="13" customFormat="1"/>
    <row r="97" s="13" customFormat="1"/>
    <row r="98" s="13" customFormat="1"/>
    <row r="99" s="13" customFormat="1"/>
    <row r="100" s="13" customFormat="1"/>
    <row r="101" s="13" customFormat="1"/>
  </sheetData>
  <phoneticPr fontId="0" type="noConversion"/>
  <pageMargins left="0.05" right="0.05" top="0.75" bottom="0.75" header="0.3" footer="0.3"/>
  <pageSetup scale="88" fitToHeight="0" orientation="landscape" r:id="rId1"/>
  <headerFooter alignWithMargins="0">
    <oddHeader>&amp;C&amp;"Geneva,Bold"&amp;10STATE OF TEXAS
2016 PRIVATE ACTIVITY BOND ALLOCATION PROGRAM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7">
    <tabColor theme="0" tint="-0.499984740745262"/>
  </sheetPr>
  <dimension ref="A1:V26"/>
  <sheetViews>
    <sheetView zoomScaleNormal="100" workbookViewId="0">
      <pane xSplit="1" ySplit="6" topLeftCell="B7" activePane="bottomRight" state="frozen"/>
      <selection activeCell="K30" sqref="I28:K30"/>
      <selection pane="topRight" activeCell="K30" sqref="I28:K30"/>
      <selection pane="bottomLeft" activeCell="K30" sqref="I28:K30"/>
      <selection pane="bottomRight" activeCell="H14" sqref="H14"/>
    </sheetView>
  </sheetViews>
  <sheetFormatPr defaultColWidth="10.875" defaultRowHeight="12"/>
  <cols>
    <col min="1" max="1" width="9.375" style="13" customWidth="1"/>
    <col min="2" max="2" width="7.125" style="13" bestFit="1" customWidth="1"/>
    <col min="3" max="3" width="10.125" style="13" bestFit="1" customWidth="1"/>
    <col min="4" max="4" width="8.625" style="13" bestFit="1" customWidth="1"/>
    <col min="5" max="5" width="22.375" style="13" bestFit="1" customWidth="1"/>
    <col min="6" max="6" width="37.75" style="13" bestFit="1" customWidth="1"/>
    <col min="7" max="7" width="11.25" style="13" bestFit="1" customWidth="1"/>
    <col min="8" max="8" width="13.875" style="12" bestFit="1" customWidth="1"/>
    <col min="9" max="9" width="12.75" style="41" bestFit="1" customWidth="1"/>
    <col min="10" max="10" width="15.25" style="13" bestFit="1" customWidth="1"/>
    <col min="11" max="11" width="10.875" style="13" bestFit="1" customWidth="1"/>
    <col min="12" max="12" width="12.625" style="60" bestFit="1" customWidth="1"/>
    <col min="13" max="13" width="10.875" style="11" bestFit="1" customWidth="1"/>
    <col min="14" max="14" width="15.25" style="57" bestFit="1" customWidth="1"/>
    <col min="15" max="15" width="12.25" style="12" bestFit="1" customWidth="1"/>
    <col min="16" max="16" width="10.625" style="13" bestFit="1" customWidth="1"/>
    <col min="17" max="17" width="10.25" style="13" bestFit="1" customWidth="1"/>
    <col min="18" max="18" width="35.25" style="13" customWidth="1"/>
    <col min="19" max="16384" width="10.875" style="13"/>
  </cols>
  <sheetData>
    <row r="1" spans="1:22" s="17" customFormat="1" ht="11.4">
      <c r="A1" s="16" t="s">
        <v>12</v>
      </c>
      <c r="B1" s="291"/>
      <c r="C1" s="291"/>
      <c r="E1" s="382">
        <f>ROUND(Totals!$H$8*Totals!$P$8, 0)-1</f>
        <v>22212389</v>
      </c>
      <c r="F1" s="18"/>
      <c r="G1" s="18"/>
      <c r="H1" s="332"/>
      <c r="I1" s="333"/>
      <c r="J1" s="284"/>
      <c r="K1" s="284"/>
      <c r="L1" s="333"/>
      <c r="M1" s="284"/>
      <c r="N1" s="332"/>
      <c r="O1" s="332"/>
      <c r="P1" s="284"/>
      <c r="R1" s="285"/>
      <c r="S1" s="5"/>
      <c r="T1" s="5"/>
      <c r="U1" s="5"/>
      <c r="V1" s="5"/>
    </row>
    <row r="2" spans="1:22" s="5" customFormat="1" ht="11.4">
      <c r="A2" s="25" t="s">
        <v>69</v>
      </c>
      <c r="B2" s="48"/>
      <c r="C2" s="48"/>
      <c r="E2" s="26"/>
      <c r="F2" s="26"/>
      <c r="G2" s="26"/>
      <c r="H2" s="46"/>
      <c r="I2" s="47"/>
      <c r="J2" s="6"/>
      <c r="K2" s="6"/>
      <c r="L2" s="47"/>
      <c r="M2" s="6"/>
      <c r="N2" s="46"/>
      <c r="O2" s="46"/>
      <c r="P2" s="6"/>
      <c r="R2" s="286"/>
    </row>
    <row r="3" spans="1:22">
      <c r="A3" s="137"/>
      <c r="H3" s="44"/>
      <c r="I3" s="42"/>
      <c r="J3" s="11"/>
      <c r="K3" s="11"/>
      <c r="L3" s="59"/>
      <c r="N3" s="53"/>
      <c r="O3" s="44"/>
      <c r="P3" s="11"/>
      <c r="Q3" s="1"/>
      <c r="R3" s="287"/>
      <c r="S3" s="5"/>
      <c r="T3" s="5"/>
      <c r="U3" s="5"/>
      <c r="V3" s="5"/>
    </row>
    <row r="4" spans="1:22" s="5" customFormat="1">
      <c r="A4" s="31" t="s">
        <v>206</v>
      </c>
      <c r="B4" s="5" t="s">
        <v>208</v>
      </c>
      <c r="C4" s="5" t="s">
        <v>32</v>
      </c>
      <c r="D4" s="5" t="s">
        <v>37</v>
      </c>
      <c r="E4" s="5" t="s">
        <v>31</v>
      </c>
      <c r="F4" s="26" t="s">
        <v>49</v>
      </c>
      <c r="G4" s="26" t="s">
        <v>45</v>
      </c>
      <c r="H4" s="84" t="s">
        <v>23</v>
      </c>
      <c r="I4" s="32" t="s">
        <v>8</v>
      </c>
      <c r="J4" s="6" t="s">
        <v>14</v>
      </c>
      <c r="K4" s="6" t="s">
        <v>34</v>
      </c>
      <c r="L4" s="32" t="s">
        <v>4</v>
      </c>
      <c r="M4" s="6" t="s">
        <v>157</v>
      </c>
      <c r="N4" s="32" t="s">
        <v>27</v>
      </c>
      <c r="O4" s="32" t="s">
        <v>44</v>
      </c>
      <c r="P4" s="6" t="s">
        <v>22</v>
      </c>
      <c r="Q4" s="5" t="s">
        <v>172</v>
      </c>
      <c r="R4" s="30" t="s">
        <v>286</v>
      </c>
      <c r="S4" s="13"/>
      <c r="T4" s="13"/>
      <c r="U4" s="13"/>
      <c r="V4" s="13"/>
    </row>
    <row r="5" spans="1:22" s="5" customFormat="1">
      <c r="A5" s="31" t="s">
        <v>207</v>
      </c>
      <c r="B5" s="5" t="s">
        <v>207</v>
      </c>
      <c r="C5" s="5" t="s">
        <v>48</v>
      </c>
      <c r="D5" s="13"/>
      <c r="F5" s="26"/>
      <c r="G5" s="26"/>
      <c r="H5" s="84" t="s">
        <v>42</v>
      </c>
      <c r="I5" s="32" t="s">
        <v>42</v>
      </c>
      <c r="J5" s="6" t="s">
        <v>9</v>
      </c>
      <c r="K5" s="6" t="s">
        <v>18</v>
      </c>
      <c r="L5" s="32" t="s">
        <v>42</v>
      </c>
      <c r="M5" s="6" t="s">
        <v>18</v>
      </c>
      <c r="N5" s="32" t="s">
        <v>42</v>
      </c>
      <c r="O5" s="32" t="s">
        <v>42</v>
      </c>
      <c r="P5" s="6" t="s">
        <v>5</v>
      </c>
      <c r="Q5" s="5" t="s">
        <v>171</v>
      </c>
      <c r="R5" s="30" t="s">
        <v>287</v>
      </c>
      <c r="S5" s="13"/>
      <c r="T5" s="13"/>
      <c r="U5" s="13"/>
      <c r="V5" s="13"/>
    </row>
    <row r="6" spans="1:22" s="5" customFormat="1" ht="12.6" thickBot="1">
      <c r="A6" s="37"/>
      <c r="B6" s="33"/>
      <c r="C6" s="33" t="s">
        <v>173</v>
      </c>
      <c r="D6" s="38"/>
      <c r="E6" s="33"/>
      <c r="F6" s="39"/>
      <c r="G6" s="39"/>
      <c r="H6" s="130"/>
      <c r="I6" s="55"/>
      <c r="J6" s="40"/>
      <c r="K6" s="40"/>
      <c r="L6" s="55"/>
      <c r="M6" s="40"/>
      <c r="N6" s="55"/>
      <c r="O6" s="55"/>
      <c r="P6" s="40"/>
      <c r="Q6" s="38"/>
      <c r="R6" s="386" t="s">
        <v>9</v>
      </c>
      <c r="S6" s="13"/>
      <c r="T6" s="13"/>
      <c r="U6" s="13"/>
      <c r="V6" s="13"/>
    </row>
    <row r="7" spans="1:22" s="512" customFormat="1">
      <c r="A7" s="512">
        <v>22</v>
      </c>
      <c r="B7" s="512">
        <v>40</v>
      </c>
      <c r="C7" s="512" t="s">
        <v>452</v>
      </c>
      <c r="D7" s="512" t="s">
        <v>43</v>
      </c>
      <c r="E7" s="512" t="s">
        <v>212</v>
      </c>
      <c r="F7" s="513" t="s">
        <v>329</v>
      </c>
      <c r="G7" s="513" t="s">
        <v>213</v>
      </c>
      <c r="H7" s="514">
        <v>0</v>
      </c>
      <c r="I7" s="514"/>
      <c r="J7" s="515"/>
      <c r="K7" s="515"/>
      <c r="L7" s="516"/>
      <c r="M7" s="515"/>
      <c r="N7" s="516"/>
      <c r="O7" s="517"/>
      <c r="P7" s="515"/>
      <c r="Q7" s="512" t="s">
        <v>209</v>
      </c>
    </row>
    <row r="8" spans="1:22" s="512" customFormat="1">
      <c r="A8" s="512">
        <v>26</v>
      </c>
      <c r="B8" s="512">
        <v>48</v>
      </c>
      <c r="C8" s="512" t="s">
        <v>453</v>
      </c>
      <c r="D8" s="512" t="s">
        <v>43</v>
      </c>
      <c r="E8" s="512" t="s">
        <v>265</v>
      </c>
      <c r="F8" s="513" t="s">
        <v>454</v>
      </c>
      <c r="G8" s="513" t="s">
        <v>211</v>
      </c>
      <c r="H8" s="514">
        <v>0</v>
      </c>
      <c r="I8" s="514"/>
      <c r="J8" s="515"/>
      <c r="K8" s="515"/>
      <c r="L8" s="516"/>
      <c r="M8" s="515"/>
      <c r="N8" s="516"/>
      <c r="O8" s="517"/>
      <c r="P8" s="515"/>
      <c r="Q8" s="512" t="s">
        <v>264</v>
      </c>
    </row>
    <row r="9" spans="1:22">
      <c r="F9" s="36"/>
      <c r="G9" s="36"/>
      <c r="H9" s="289"/>
      <c r="I9" s="289"/>
      <c r="J9" s="11"/>
      <c r="K9" s="11"/>
      <c r="L9" s="350"/>
      <c r="N9" s="350"/>
      <c r="O9" s="314"/>
      <c r="P9" s="11"/>
    </row>
    <row r="10" spans="1:22">
      <c r="A10" s="43"/>
      <c r="B10" s="43"/>
      <c r="C10" s="43"/>
      <c r="D10" s="43"/>
      <c r="E10" s="1"/>
      <c r="F10" s="13" t="s">
        <v>19</v>
      </c>
      <c r="H10" s="263">
        <f>SUM(H7:H9)</f>
        <v>0</v>
      </c>
      <c r="I10" s="263">
        <f>SUM(I7:I9)</f>
        <v>0</v>
      </c>
      <c r="J10" s="10"/>
      <c r="K10" s="10"/>
      <c r="L10" s="263">
        <f>SUM(L7:L9)</f>
        <v>0</v>
      </c>
      <c r="M10" s="10"/>
      <c r="N10" s="263">
        <f>SUM(N7:N9)</f>
        <v>0</v>
      </c>
      <c r="O10" s="263">
        <f>SUM(O7:O9)</f>
        <v>0</v>
      </c>
    </row>
    <row r="11" spans="1:22" s="1" customFormat="1">
      <c r="A11" s="5"/>
      <c r="B11" s="5"/>
      <c r="C11" s="5"/>
      <c r="D11" s="88"/>
      <c r="F11" s="13"/>
      <c r="H11" s="76"/>
      <c r="J11" s="11"/>
      <c r="K11" s="11"/>
      <c r="L11" s="9"/>
      <c r="M11" s="6"/>
      <c r="Q11" s="13"/>
    </row>
    <row r="12" spans="1:22" s="1" customFormat="1">
      <c r="A12" s="5"/>
      <c r="B12" s="5"/>
      <c r="C12" s="5"/>
      <c r="E12" s="5"/>
      <c r="F12" s="13" t="s">
        <v>43</v>
      </c>
      <c r="G12" s="5"/>
      <c r="H12" s="34">
        <f>H10-I10</f>
        <v>0</v>
      </c>
      <c r="I12" s="9"/>
      <c r="L12" s="9"/>
      <c r="Q12" s="13"/>
    </row>
    <row r="13" spans="1:22" s="1" customFormat="1">
      <c r="A13" s="5"/>
      <c r="B13" s="5"/>
      <c r="C13" s="5"/>
      <c r="E13" s="5"/>
      <c r="G13" s="5"/>
      <c r="H13" s="67"/>
      <c r="I13" s="9"/>
      <c r="K13" s="138"/>
      <c r="L13" s="9"/>
      <c r="N13" s="76"/>
      <c r="Q13" s="13"/>
    </row>
    <row r="14" spans="1:22" s="1" customFormat="1">
      <c r="A14" s="5"/>
      <c r="B14" s="5"/>
      <c r="C14" s="5"/>
      <c r="E14" s="133"/>
      <c r="F14" s="58" t="s">
        <v>10</v>
      </c>
      <c r="G14" s="5"/>
      <c r="H14" s="77">
        <f>E1-I10+O10+G19</f>
        <v>22212389</v>
      </c>
      <c r="I14" s="292"/>
      <c r="J14" s="138"/>
      <c r="L14" s="9"/>
      <c r="M14" s="138"/>
      <c r="Q14" s="13"/>
    </row>
    <row r="15" spans="1:22" s="1" customFormat="1">
      <c r="A15" s="5"/>
      <c r="B15" s="5"/>
      <c r="C15" s="5"/>
      <c r="E15" s="133"/>
      <c r="F15" s="58"/>
      <c r="G15" s="5"/>
      <c r="H15" s="124"/>
      <c r="I15" s="292"/>
      <c r="J15" s="138"/>
      <c r="L15" s="9"/>
      <c r="M15" s="138"/>
      <c r="Q15" s="13"/>
    </row>
    <row r="16" spans="1:22" s="1" customFormat="1">
      <c r="A16" s="5"/>
      <c r="B16" s="5"/>
      <c r="C16" s="5"/>
      <c r="E16" s="133"/>
      <c r="F16" s="58"/>
      <c r="G16" s="5"/>
      <c r="H16" s="124"/>
      <c r="I16" s="292"/>
      <c r="J16" s="138"/>
      <c r="L16" s="9"/>
      <c r="M16" s="138"/>
      <c r="Q16" s="13"/>
    </row>
    <row r="17" spans="1:9">
      <c r="D17" s="43"/>
    </row>
    <row r="18" spans="1:9">
      <c r="E18" s="58"/>
      <c r="F18" s="58"/>
      <c r="G18" s="297"/>
      <c r="H18" s="35"/>
    </row>
    <row r="19" spans="1:9">
      <c r="A19" s="43"/>
      <c r="B19" s="43"/>
      <c r="C19" s="43"/>
      <c r="D19" s="43"/>
      <c r="G19" s="295">
        <f>SUM(G16:G18)</f>
        <v>0</v>
      </c>
    </row>
    <row r="20" spans="1:9">
      <c r="E20" s="43"/>
      <c r="F20" s="43"/>
      <c r="G20" s="43"/>
      <c r="H20" s="43"/>
      <c r="I20" s="51"/>
    </row>
    <row r="21" spans="1:9">
      <c r="A21" s="94"/>
      <c r="B21" s="94"/>
      <c r="C21" s="94"/>
      <c r="D21" s="94"/>
    </row>
    <row r="22" spans="1:9">
      <c r="E22" s="94"/>
      <c r="F22" s="94"/>
      <c r="G22" s="94"/>
      <c r="H22" s="94"/>
      <c r="I22" s="118"/>
    </row>
    <row r="23" spans="1:9">
      <c r="A23" s="93"/>
      <c r="B23" s="93"/>
      <c r="C23" s="93"/>
      <c r="D23" s="93"/>
    </row>
    <row r="24" spans="1:9">
      <c r="E24" s="93"/>
      <c r="F24" s="132"/>
      <c r="G24" s="93"/>
      <c r="H24" s="93"/>
    </row>
    <row r="25" spans="1:9">
      <c r="A25" s="93"/>
      <c r="B25" s="93"/>
      <c r="C25" s="93"/>
      <c r="D25" s="93"/>
    </row>
    <row r="26" spans="1:9">
      <c r="E26" s="93"/>
      <c r="F26" s="93"/>
      <c r="G26" s="93"/>
      <c r="H26" s="93"/>
    </row>
  </sheetData>
  <pageMargins left="0.75" right="0.75" top="1" bottom="1" header="0.5" footer="0.5"/>
  <pageSetup scale="75" fitToWidth="2" fitToHeight="3" orientation="landscape" horizontalDpi="4294967292" verticalDpi="4294967292" r:id="rId1"/>
  <headerFooter alignWithMargins="0"/>
  <colBreaks count="1" manualBreakCount="1">
    <brk id="16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8">
    <tabColor theme="0" tint="-0.499984740745262"/>
  </sheetPr>
  <dimension ref="A1:V29"/>
  <sheetViews>
    <sheetView zoomScaleNormal="100" workbookViewId="0">
      <pane xSplit="1" ySplit="6" topLeftCell="B7" activePane="bottomRight" state="frozen"/>
      <selection activeCell="K30" sqref="I28:K30"/>
      <selection pane="topRight" activeCell="K30" sqref="I28:K30"/>
      <selection pane="bottomLeft" activeCell="K30" sqref="I28:K30"/>
      <selection pane="bottomRight" activeCell="H13" sqref="H13"/>
    </sheetView>
  </sheetViews>
  <sheetFormatPr defaultColWidth="10.875" defaultRowHeight="12"/>
  <cols>
    <col min="1" max="1" width="9.375" style="13" customWidth="1"/>
    <col min="2" max="2" width="7.125" style="13" bestFit="1" customWidth="1"/>
    <col min="3" max="3" width="10.125" style="13" bestFit="1" customWidth="1"/>
    <col min="4" max="4" width="13.25" style="13" bestFit="1" customWidth="1"/>
    <col min="5" max="5" width="21.625" style="13" customWidth="1"/>
    <col min="6" max="6" width="33.75" style="13" customWidth="1"/>
    <col min="7" max="7" width="12" style="13" customWidth="1"/>
    <col min="8" max="8" width="13.875" style="12" bestFit="1" customWidth="1"/>
    <col min="9" max="9" width="12.75" style="41" bestFit="1" customWidth="1"/>
    <col min="10" max="10" width="15.25" style="13" bestFit="1" customWidth="1"/>
    <col min="11" max="11" width="10.875" style="13" bestFit="1" customWidth="1"/>
    <col min="12" max="12" width="12.625" style="60" bestFit="1" customWidth="1"/>
    <col min="13" max="13" width="10.875" style="11" bestFit="1" customWidth="1"/>
    <col min="14" max="14" width="15.25" style="57" bestFit="1" customWidth="1"/>
    <col min="15" max="15" width="12.25" style="12" bestFit="1" customWidth="1"/>
    <col min="16" max="16" width="10.625" style="13" bestFit="1" customWidth="1"/>
    <col min="17" max="17" width="10.25" style="13" bestFit="1" customWidth="1"/>
    <col min="18" max="18" width="35.25" style="13" bestFit="1" customWidth="1"/>
    <col min="19" max="16384" width="10.875" style="13"/>
  </cols>
  <sheetData>
    <row r="1" spans="1:22" s="17" customFormat="1" ht="11.4">
      <c r="A1" s="16" t="s">
        <v>12</v>
      </c>
      <c r="B1" s="291"/>
      <c r="C1" s="291"/>
      <c r="E1" s="382">
        <f>ROUND(Totals!$H$8*Totals!$P$9, 0)</f>
        <v>14082877</v>
      </c>
      <c r="F1" s="18"/>
      <c r="G1" s="18"/>
      <c r="H1" s="332"/>
      <c r="I1" s="333"/>
      <c r="J1" s="284"/>
      <c r="K1" s="284"/>
      <c r="L1" s="333"/>
      <c r="M1" s="284"/>
      <c r="N1" s="332"/>
      <c r="O1" s="332"/>
      <c r="P1" s="284"/>
      <c r="R1" s="285"/>
      <c r="S1" s="5"/>
      <c r="T1" s="5"/>
      <c r="U1" s="5"/>
      <c r="V1" s="5"/>
    </row>
    <row r="2" spans="1:22" s="5" customFormat="1" ht="11.4">
      <c r="A2" s="25" t="s">
        <v>70</v>
      </c>
      <c r="B2" s="48"/>
      <c r="C2" s="48"/>
      <c r="E2" s="26"/>
      <c r="F2" s="26"/>
      <c r="G2" s="26"/>
      <c r="H2" s="46"/>
      <c r="I2" s="47"/>
      <c r="J2" s="6"/>
      <c r="K2" s="6"/>
      <c r="L2" s="47"/>
      <c r="M2" s="6"/>
      <c r="N2" s="46"/>
      <c r="O2" s="46"/>
      <c r="P2" s="6"/>
      <c r="R2" s="286"/>
    </row>
    <row r="3" spans="1:22">
      <c r="A3" s="137"/>
      <c r="H3" s="44"/>
      <c r="I3" s="42"/>
      <c r="J3" s="11"/>
      <c r="K3" s="11"/>
      <c r="L3" s="59"/>
      <c r="N3" s="53"/>
      <c r="O3" s="44"/>
      <c r="P3" s="11"/>
      <c r="Q3" s="1"/>
      <c r="R3" s="287"/>
      <c r="S3" s="5"/>
      <c r="T3" s="5"/>
      <c r="U3" s="5"/>
      <c r="V3" s="5"/>
    </row>
    <row r="4" spans="1:22" s="5" customFormat="1">
      <c r="A4" s="31" t="s">
        <v>206</v>
      </c>
      <c r="B4" s="5" t="s">
        <v>208</v>
      </c>
      <c r="C4" s="5" t="s">
        <v>32</v>
      </c>
      <c r="D4" s="5" t="s">
        <v>37</v>
      </c>
      <c r="E4" s="5" t="s">
        <v>31</v>
      </c>
      <c r="F4" s="26" t="s">
        <v>49</v>
      </c>
      <c r="G4" s="26" t="s">
        <v>45</v>
      </c>
      <c r="H4" s="84" t="s">
        <v>23</v>
      </c>
      <c r="I4" s="32" t="s">
        <v>8</v>
      </c>
      <c r="J4" s="6" t="s">
        <v>14</v>
      </c>
      <c r="K4" s="6" t="s">
        <v>34</v>
      </c>
      <c r="L4" s="32" t="s">
        <v>4</v>
      </c>
      <c r="M4" s="6" t="s">
        <v>157</v>
      </c>
      <c r="N4" s="32" t="s">
        <v>27</v>
      </c>
      <c r="O4" s="32" t="s">
        <v>44</v>
      </c>
      <c r="P4" s="6" t="s">
        <v>22</v>
      </c>
      <c r="Q4" s="5" t="s">
        <v>172</v>
      </c>
      <c r="R4" s="30" t="s">
        <v>286</v>
      </c>
      <c r="S4" s="13"/>
      <c r="T4" s="13"/>
      <c r="U4" s="13"/>
      <c r="V4" s="13"/>
    </row>
    <row r="5" spans="1:22" s="5" customFormat="1">
      <c r="A5" s="31" t="s">
        <v>207</v>
      </c>
      <c r="B5" s="5" t="s">
        <v>207</v>
      </c>
      <c r="C5" s="5" t="s">
        <v>48</v>
      </c>
      <c r="D5" s="13"/>
      <c r="F5" s="26"/>
      <c r="G5" s="26"/>
      <c r="H5" s="84" t="s">
        <v>42</v>
      </c>
      <c r="I5" s="32" t="s">
        <v>42</v>
      </c>
      <c r="J5" s="6" t="s">
        <v>9</v>
      </c>
      <c r="K5" s="6" t="s">
        <v>18</v>
      </c>
      <c r="L5" s="32" t="s">
        <v>42</v>
      </c>
      <c r="M5" s="6" t="s">
        <v>18</v>
      </c>
      <c r="N5" s="32" t="s">
        <v>42</v>
      </c>
      <c r="O5" s="32" t="s">
        <v>42</v>
      </c>
      <c r="P5" s="6" t="s">
        <v>5</v>
      </c>
      <c r="Q5" s="5" t="s">
        <v>171</v>
      </c>
      <c r="R5" s="30" t="s">
        <v>287</v>
      </c>
      <c r="S5" s="13"/>
      <c r="T5" s="13"/>
      <c r="U5" s="13"/>
      <c r="V5" s="13"/>
    </row>
    <row r="6" spans="1:22" s="5" customFormat="1" ht="12.6" thickBot="1">
      <c r="A6" s="37"/>
      <c r="B6" s="33"/>
      <c r="C6" s="33" t="s">
        <v>173</v>
      </c>
      <c r="D6" s="38"/>
      <c r="E6" s="33"/>
      <c r="F6" s="39"/>
      <c r="G6" s="39"/>
      <c r="H6" s="130"/>
      <c r="I6" s="55"/>
      <c r="J6" s="40"/>
      <c r="K6" s="40"/>
      <c r="L6" s="55"/>
      <c r="M6" s="40"/>
      <c r="N6" s="55"/>
      <c r="O6" s="55"/>
      <c r="P6" s="40"/>
      <c r="Q6" s="38"/>
      <c r="R6" s="386" t="s">
        <v>9</v>
      </c>
      <c r="S6" s="13"/>
      <c r="T6" s="13"/>
      <c r="U6" s="13"/>
      <c r="V6" s="13"/>
    </row>
    <row r="7" spans="1:22" s="512" customFormat="1">
      <c r="A7" s="512">
        <v>58</v>
      </c>
      <c r="B7" s="512">
        <v>34</v>
      </c>
      <c r="C7" s="512" t="s">
        <v>455</v>
      </c>
      <c r="D7" s="512" t="s">
        <v>43</v>
      </c>
      <c r="E7" s="512" t="s">
        <v>394</v>
      </c>
      <c r="F7" s="513" t="s">
        <v>395</v>
      </c>
      <c r="G7" s="513" t="s">
        <v>148</v>
      </c>
      <c r="H7" s="518">
        <v>0</v>
      </c>
      <c r="I7" s="514"/>
      <c r="J7" s="515"/>
      <c r="K7" s="515"/>
      <c r="L7" s="514"/>
      <c r="M7" s="515"/>
      <c r="N7" s="514"/>
      <c r="O7" s="514"/>
      <c r="P7" s="515"/>
      <c r="Q7" s="512" t="s">
        <v>241</v>
      </c>
      <c r="R7" s="515"/>
    </row>
    <row r="8" spans="1:22">
      <c r="F8" s="36"/>
      <c r="G8" s="36"/>
      <c r="H8" s="59"/>
      <c r="I8" s="59"/>
      <c r="J8" s="11"/>
      <c r="K8" s="11"/>
      <c r="L8" s="45"/>
      <c r="N8" s="45"/>
      <c r="O8" s="53"/>
      <c r="P8" s="11"/>
    </row>
    <row r="9" spans="1:22">
      <c r="A9" s="43"/>
      <c r="B9" s="43"/>
      <c r="C9" s="43"/>
      <c r="D9" s="43"/>
      <c r="E9" s="1"/>
      <c r="F9" s="13" t="s">
        <v>19</v>
      </c>
      <c r="H9" s="263">
        <f>SUM(H7:H8)</f>
        <v>0</v>
      </c>
      <c r="I9" s="263">
        <f>SUM(I7:I8)</f>
        <v>0</v>
      </c>
      <c r="J9" s="10"/>
      <c r="K9" s="10"/>
      <c r="L9" s="263">
        <f>SUM(L7:L8)</f>
        <v>0</v>
      </c>
      <c r="M9" s="10"/>
      <c r="N9" s="263">
        <f t="shared" ref="N9:O9" si="0">SUM(N7:N8)</f>
        <v>0</v>
      </c>
      <c r="O9" s="263">
        <f t="shared" si="0"/>
        <v>0</v>
      </c>
    </row>
    <row r="10" spans="1:22" s="1" customFormat="1">
      <c r="A10" s="5"/>
      <c r="B10" s="5"/>
      <c r="C10" s="5"/>
      <c r="D10" s="88"/>
      <c r="F10" s="13"/>
      <c r="H10" s="76"/>
      <c r="J10" s="11"/>
      <c r="K10" s="11"/>
      <c r="L10" s="9"/>
      <c r="M10" s="6"/>
      <c r="Q10" s="13"/>
    </row>
    <row r="11" spans="1:22" s="1" customFormat="1">
      <c r="A11" s="5"/>
      <c r="B11" s="5"/>
      <c r="C11" s="5"/>
      <c r="E11" s="5"/>
      <c r="F11" s="13" t="s">
        <v>43</v>
      </c>
      <c r="G11" s="5"/>
      <c r="H11" s="34">
        <f>H9-I9</f>
        <v>0</v>
      </c>
      <c r="I11" s="9"/>
      <c r="L11" s="9"/>
      <c r="Q11" s="13"/>
    </row>
    <row r="12" spans="1:22" s="1" customFormat="1">
      <c r="A12" s="5"/>
      <c r="B12" s="5"/>
      <c r="C12" s="5"/>
      <c r="E12" s="5"/>
      <c r="G12" s="5"/>
      <c r="H12" s="67"/>
      <c r="I12" s="9"/>
      <c r="K12" s="138"/>
      <c r="L12" s="9"/>
      <c r="N12" s="76"/>
      <c r="Q12" s="13"/>
    </row>
    <row r="13" spans="1:22" s="1" customFormat="1">
      <c r="A13" s="5"/>
      <c r="B13" s="5"/>
      <c r="C13" s="5"/>
      <c r="E13" s="133"/>
      <c r="F13" s="58" t="s">
        <v>10</v>
      </c>
      <c r="G13" s="5"/>
      <c r="H13" s="77">
        <f>+E1-I9+O9+G16</f>
        <v>14082877</v>
      </c>
      <c r="I13" s="292"/>
      <c r="J13" s="138"/>
      <c r="L13" s="9"/>
      <c r="M13" s="138"/>
      <c r="Q13" s="13"/>
    </row>
    <row r="14" spans="1:22">
      <c r="D14" s="43"/>
      <c r="L14" s="405"/>
    </row>
    <row r="15" spans="1:22">
      <c r="E15" s="58"/>
      <c r="F15" s="58"/>
      <c r="G15" s="297"/>
      <c r="H15" s="35"/>
    </row>
    <row r="16" spans="1:22">
      <c r="A16" s="43"/>
      <c r="B16" s="43"/>
      <c r="C16" s="43"/>
      <c r="D16" s="43"/>
      <c r="G16" s="296"/>
      <c r="L16" s="13"/>
      <c r="M16" s="13"/>
      <c r="N16" s="13"/>
      <c r="O16" s="13"/>
    </row>
    <row r="17" spans="1:15">
      <c r="E17" s="43"/>
      <c r="F17" s="43"/>
      <c r="G17" s="43"/>
      <c r="H17" s="43"/>
      <c r="I17" s="51"/>
      <c r="L17" s="13"/>
      <c r="M17" s="13"/>
      <c r="N17" s="13"/>
      <c r="O17" s="13"/>
    </row>
    <row r="18" spans="1:15">
      <c r="A18" s="94"/>
      <c r="B18" s="94"/>
      <c r="C18" s="94"/>
      <c r="D18" s="94"/>
      <c r="L18" s="13"/>
      <c r="M18" s="13"/>
      <c r="N18" s="13"/>
      <c r="O18" s="13"/>
    </row>
    <row r="19" spans="1:15">
      <c r="E19" s="94"/>
      <c r="F19" s="94"/>
      <c r="G19" s="94"/>
      <c r="H19" s="94"/>
      <c r="I19" s="118"/>
      <c r="L19" s="13"/>
      <c r="M19" s="13"/>
      <c r="N19" s="13"/>
      <c r="O19" s="13"/>
    </row>
    <row r="20" spans="1:15">
      <c r="A20" s="93"/>
      <c r="B20" s="93"/>
      <c r="C20" s="93"/>
      <c r="D20" s="93"/>
      <c r="L20" s="13"/>
      <c r="M20" s="13"/>
      <c r="N20" s="13"/>
      <c r="O20" s="13"/>
    </row>
    <row r="21" spans="1:15">
      <c r="E21" s="93"/>
      <c r="F21" s="132"/>
      <c r="G21" s="93"/>
      <c r="H21" s="93"/>
      <c r="L21" s="13"/>
      <c r="M21" s="13"/>
      <c r="N21" s="13"/>
      <c r="O21" s="13"/>
    </row>
    <row r="22" spans="1:15">
      <c r="A22" s="93"/>
      <c r="B22" s="93"/>
      <c r="C22" s="93"/>
      <c r="D22" s="93"/>
      <c r="L22" s="13"/>
      <c r="M22" s="13"/>
      <c r="N22" s="13"/>
      <c r="O22" s="13"/>
    </row>
    <row r="23" spans="1:15">
      <c r="E23" s="93"/>
      <c r="F23" s="93"/>
      <c r="G23" s="93"/>
      <c r="H23" s="93"/>
      <c r="L23" s="13"/>
      <c r="M23" s="13"/>
      <c r="N23" s="13"/>
      <c r="O23" s="13"/>
    </row>
    <row r="25" spans="1:15">
      <c r="J25" s="11"/>
      <c r="L25" s="13"/>
      <c r="M25" s="13"/>
      <c r="N25" s="13"/>
      <c r="O25" s="13"/>
    </row>
    <row r="26" spans="1:15">
      <c r="J26" s="11"/>
      <c r="L26" s="13"/>
      <c r="M26" s="13"/>
      <c r="N26" s="13"/>
      <c r="O26" s="13"/>
    </row>
    <row r="27" spans="1:15">
      <c r="J27" s="11"/>
      <c r="L27" s="13"/>
      <c r="M27" s="13"/>
      <c r="N27" s="13"/>
      <c r="O27" s="13"/>
    </row>
    <row r="28" spans="1:15">
      <c r="J28" s="11"/>
      <c r="L28" s="13"/>
      <c r="M28" s="13"/>
      <c r="N28" s="13"/>
      <c r="O28" s="13"/>
    </row>
    <row r="29" spans="1:15">
      <c r="J29" s="11"/>
      <c r="L29" s="13"/>
      <c r="M29" s="13"/>
      <c r="N29" s="13"/>
      <c r="O29" s="13"/>
    </row>
  </sheetData>
  <pageMargins left="0.75" right="0.75" top="1" bottom="1" header="0.5" footer="0.5"/>
  <pageSetup scale="75" fitToWidth="2" fitToHeight="3" orientation="landscape" horizontalDpi="4294967292" verticalDpi="4294967292" r:id="rId1"/>
  <headerFooter alignWithMargins="0"/>
  <colBreaks count="1" manualBreakCount="1">
    <brk id="16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9">
    <tabColor theme="0" tint="-0.499984740745262"/>
  </sheetPr>
  <dimension ref="A1:V44"/>
  <sheetViews>
    <sheetView zoomScaleNormal="100" workbookViewId="0">
      <selection activeCell="H32" sqref="H32"/>
    </sheetView>
  </sheetViews>
  <sheetFormatPr defaultColWidth="10.875" defaultRowHeight="12"/>
  <cols>
    <col min="1" max="1" width="8" style="13" customWidth="1"/>
    <col min="2" max="2" width="6.125" style="13" customWidth="1"/>
    <col min="3" max="3" width="9.25" style="13" bestFit="1" customWidth="1"/>
    <col min="4" max="4" width="13.25" style="13" customWidth="1"/>
    <col min="5" max="5" width="20.25" style="13" customWidth="1"/>
    <col min="6" max="6" width="31" style="13" customWidth="1"/>
    <col min="7" max="7" width="13" style="13" bestFit="1" customWidth="1"/>
    <col min="8" max="8" width="15.25" style="12" bestFit="1" customWidth="1"/>
    <col min="9" max="9" width="14.25" style="41" bestFit="1" customWidth="1"/>
    <col min="10" max="10" width="15.25" style="13" bestFit="1" customWidth="1"/>
    <col min="11" max="11" width="10.875" style="13" bestFit="1" customWidth="1"/>
    <col min="12" max="12" width="12.625" style="60" bestFit="1" customWidth="1"/>
    <col min="13" max="13" width="10.875" style="11" bestFit="1" customWidth="1"/>
    <col min="14" max="14" width="15.25" style="57" customWidth="1"/>
    <col min="15" max="15" width="12.25" style="12" bestFit="1" customWidth="1"/>
    <col min="16" max="16" width="10.625" style="13" bestFit="1" customWidth="1"/>
    <col min="17" max="17" width="10.25" style="13" bestFit="1" customWidth="1"/>
    <col min="18" max="18" width="42.75" style="13" bestFit="1" customWidth="1"/>
    <col min="19" max="19" width="16.75" style="13" bestFit="1" customWidth="1"/>
    <col min="20" max="20" width="14.25" style="13" bestFit="1" customWidth="1"/>
    <col min="21" max="16384" width="10.875" style="13"/>
  </cols>
  <sheetData>
    <row r="1" spans="1:22" s="17" customFormat="1" ht="11.4">
      <c r="A1" s="16" t="s">
        <v>12</v>
      </c>
      <c r="B1" s="291"/>
      <c r="C1" s="291"/>
      <c r="E1" s="382">
        <f>ROUND(Totals!$H$8*Totals!$P$10, 0)</f>
        <v>206311236</v>
      </c>
      <c r="F1" s="18"/>
      <c r="G1" s="18"/>
      <c r="H1" s="332"/>
      <c r="I1" s="333"/>
      <c r="J1" s="284"/>
      <c r="K1" s="284"/>
      <c r="L1" s="333"/>
      <c r="M1" s="284"/>
      <c r="N1" s="332"/>
      <c r="O1" s="332"/>
      <c r="P1" s="284"/>
      <c r="R1" s="285"/>
      <c r="S1" s="5"/>
      <c r="T1" s="5"/>
      <c r="U1" s="5"/>
      <c r="V1" s="5"/>
    </row>
    <row r="2" spans="1:22" s="5" customFormat="1" ht="11.4">
      <c r="A2" s="25" t="s">
        <v>40</v>
      </c>
      <c r="B2" s="48"/>
      <c r="C2" s="48"/>
      <c r="E2" s="26"/>
      <c r="F2" s="26"/>
      <c r="G2" s="26"/>
      <c r="H2" s="46"/>
      <c r="I2" s="47"/>
      <c r="J2" s="6"/>
      <c r="K2" s="6"/>
      <c r="L2" s="47"/>
      <c r="M2" s="6"/>
      <c r="N2" s="46"/>
      <c r="O2" s="46"/>
      <c r="P2" s="6"/>
      <c r="R2" s="286"/>
    </row>
    <row r="3" spans="1:22">
      <c r="A3" s="137"/>
      <c r="H3" s="44"/>
      <c r="I3" s="42"/>
      <c r="J3" s="11"/>
      <c r="K3" s="11"/>
      <c r="L3" s="59"/>
      <c r="N3" s="53"/>
      <c r="O3" s="44"/>
      <c r="P3" s="11"/>
      <c r="Q3" s="1"/>
      <c r="R3" s="287"/>
      <c r="S3" s="5"/>
      <c r="T3" s="5"/>
      <c r="U3" s="5"/>
      <c r="V3" s="5"/>
    </row>
    <row r="4" spans="1:22" s="5" customFormat="1">
      <c r="A4" s="31" t="s">
        <v>206</v>
      </c>
      <c r="B4" s="5" t="s">
        <v>208</v>
      </c>
      <c r="C4" s="5" t="s">
        <v>32</v>
      </c>
      <c r="D4" s="5" t="s">
        <v>37</v>
      </c>
      <c r="E4" s="5" t="s">
        <v>31</v>
      </c>
      <c r="F4" s="26" t="s">
        <v>49</v>
      </c>
      <c r="G4" s="26" t="s">
        <v>45</v>
      </c>
      <c r="H4" s="84" t="s">
        <v>23</v>
      </c>
      <c r="I4" s="32" t="s">
        <v>8</v>
      </c>
      <c r="J4" s="6" t="s">
        <v>14</v>
      </c>
      <c r="K4" s="6" t="s">
        <v>34</v>
      </c>
      <c r="L4" s="32" t="s">
        <v>4</v>
      </c>
      <c r="M4" s="6" t="s">
        <v>157</v>
      </c>
      <c r="N4" s="32" t="s">
        <v>27</v>
      </c>
      <c r="O4" s="32" t="s">
        <v>44</v>
      </c>
      <c r="P4" s="6" t="s">
        <v>22</v>
      </c>
      <c r="Q4" s="5" t="s">
        <v>172</v>
      </c>
      <c r="R4" s="30" t="s">
        <v>286</v>
      </c>
      <c r="S4" s="13"/>
      <c r="T4" s="13"/>
      <c r="U4" s="13"/>
      <c r="V4" s="13"/>
    </row>
    <row r="5" spans="1:22" s="5" customFormat="1">
      <c r="A5" s="31" t="s">
        <v>207</v>
      </c>
      <c r="B5" s="5" t="s">
        <v>207</v>
      </c>
      <c r="C5" s="5" t="s">
        <v>48</v>
      </c>
      <c r="D5" s="13"/>
      <c r="F5" s="26"/>
      <c r="G5" s="26"/>
      <c r="H5" s="84" t="s">
        <v>42</v>
      </c>
      <c r="I5" s="32" t="s">
        <v>42</v>
      </c>
      <c r="J5" s="6" t="s">
        <v>9</v>
      </c>
      <c r="K5" s="6" t="s">
        <v>18</v>
      </c>
      <c r="L5" s="32" t="s">
        <v>42</v>
      </c>
      <c r="M5" s="6" t="s">
        <v>18</v>
      </c>
      <c r="N5" s="32" t="s">
        <v>42</v>
      </c>
      <c r="O5" s="32" t="s">
        <v>42</v>
      </c>
      <c r="P5" s="6" t="s">
        <v>5</v>
      </c>
      <c r="Q5" s="5" t="s">
        <v>171</v>
      </c>
      <c r="R5" s="30" t="s">
        <v>287</v>
      </c>
      <c r="S5" s="13"/>
      <c r="T5" s="13"/>
      <c r="U5" s="13"/>
      <c r="V5" s="13"/>
    </row>
    <row r="6" spans="1:22" s="5" customFormat="1" ht="12.6" thickBot="1">
      <c r="A6" s="37"/>
      <c r="B6" s="33"/>
      <c r="C6" s="33" t="s">
        <v>173</v>
      </c>
      <c r="D6" s="33"/>
      <c r="E6" s="33"/>
      <c r="F6" s="39"/>
      <c r="G6" s="39"/>
      <c r="H6" s="130"/>
      <c r="I6" s="55"/>
      <c r="J6" s="40"/>
      <c r="K6" s="40"/>
      <c r="L6" s="55"/>
      <c r="M6" s="40"/>
      <c r="N6" s="55"/>
      <c r="O6" s="55"/>
      <c r="P6" s="40"/>
      <c r="Q6" s="38"/>
      <c r="R6" s="386" t="s">
        <v>9</v>
      </c>
      <c r="S6" s="13"/>
      <c r="T6" s="13"/>
      <c r="U6" s="13"/>
      <c r="V6" s="13"/>
    </row>
    <row r="7" spans="1:22" s="5" customFormat="1" ht="11.4">
      <c r="A7" s="5">
        <v>9</v>
      </c>
      <c r="B7" s="5">
        <v>13</v>
      </c>
      <c r="C7" s="5">
        <v>5274</v>
      </c>
      <c r="D7" s="5" t="s">
        <v>625</v>
      </c>
      <c r="E7" s="5" t="s">
        <v>464</v>
      </c>
      <c r="F7" s="26" t="s">
        <v>465</v>
      </c>
      <c r="G7" s="26" t="s">
        <v>167</v>
      </c>
      <c r="H7" s="352">
        <v>10000000</v>
      </c>
      <c r="I7" s="349">
        <v>10000000</v>
      </c>
      <c r="J7" s="6">
        <v>44205</v>
      </c>
      <c r="K7" s="6">
        <f>J7+35</f>
        <v>44240</v>
      </c>
      <c r="L7" s="349">
        <v>10000000</v>
      </c>
      <c r="M7" s="6">
        <f>J7+180</f>
        <v>44385</v>
      </c>
      <c r="N7" s="349"/>
      <c r="O7" s="349"/>
      <c r="P7" s="6"/>
      <c r="Q7" s="5" t="s">
        <v>210</v>
      </c>
      <c r="R7" s="489" t="s">
        <v>630</v>
      </c>
    </row>
    <row r="8" spans="1:22">
      <c r="A8" s="13">
        <v>29</v>
      </c>
      <c r="B8" s="13">
        <v>51</v>
      </c>
      <c r="C8" s="13" t="s">
        <v>456</v>
      </c>
      <c r="D8" s="13" t="s">
        <v>390</v>
      </c>
      <c r="E8" s="13" t="s">
        <v>266</v>
      </c>
      <c r="F8" s="36" t="s">
        <v>331</v>
      </c>
      <c r="G8" s="36" t="s">
        <v>78</v>
      </c>
      <c r="H8" s="425">
        <v>0</v>
      </c>
      <c r="I8" s="289"/>
      <c r="J8" s="11"/>
      <c r="K8" s="11"/>
      <c r="L8" s="289"/>
      <c r="N8" s="289"/>
      <c r="O8" s="289"/>
      <c r="P8" s="11"/>
      <c r="Q8" s="13" t="s">
        <v>264</v>
      </c>
      <c r="R8" s="93" t="s">
        <v>626</v>
      </c>
    </row>
    <row r="9" spans="1:22">
      <c r="A9" s="13">
        <v>34</v>
      </c>
      <c r="B9" s="13">
        <v>56</v>
      </c>
      <c r="C9" s="13" t="s">
        <v>457</v>
      </c>
      <c r="D9" s="13" t="s">
        <v>390</v>
      </c>
      <c r="E9" s="13" t="s">
        <v>266</v>
      </c>
      <c r="F9" s="36" t="s">
        <v>330</v>
      </c>
      <c r="G9" s="36" t="s">
        <v>78</v>
      </c>
      <c r="H9" s="425">
        <v>0</v>
      </c>
      <c r="I9" s="289"/>
      <c r="J9" s="11"/>
      <c r="K9" s="11"/>
      <c r="L9" s="289"/>
      <c r="N9" s="289"/>
      <c r="O9" s="289"/>
      <c r="P9" s="11"/>
      <c r="Q9" s="13" t="s">
        <v>264</v>
      </c>
      <c r="R9" s="93"/>
    </row>
    <row r="10" spans="1:22" s="5" customFormat="1" ht="11.4">
      <c r="A10" s="5">
        <v>36</v>
      </c>
      <c r="B10" s="5">
        <v>58</v>
      </c>
      <c r="C10" s="5">
        <v>5291</v>
      </c>
      <c r="D10" s="5" t="s">
        <v>625</v>
      </c>
      <c r="E10" s="5" t="s">
        <v>267</v>
      </c>
      <c r="F10" s="26" t="s">
        <v>466</v>
      </c>
      <c r="G10" s="26" t="s">
        <v>215</v>
      </c>
      <c r="H10" s="352">
        <v>50000000</v>
      </c>
      <c r="I10" s="349">
        <f>H10</f>
        <v>50000000</v>
      </c>
      <c r="J10" s="6">
        <v>44209</v>
      </c>
      <c r="K10" s="6">
        <f>J10+35</f>
        <v>44244</v>
      </c>
      <c r="L10" s="349">
        <v>50000000</v>
      </c>
      <c r="M10" s="6">
        <f>J10+180</f>
        <v>44389</v>
      </c>
      <c r="N10" s="349"/>
      <c r="O10" s="349"/>
      <c r="P10" s="6"/>
      <c r="Q10" s="5" t="s">
        <v>264</v>
      </c>
      <c r="R10" s="489" t="s">
        <v>637</v>
      </c>
    </row>
    <row r="11" spans="1:22" s="5" customFormat="1" ht="11.4">
      <c r="A11" s="5">
        <v>38</v>
      </c>
      <c r="B11" s="5">
        <v>59</v>
      </c>
      <c r="C11" s="5">
        <v>5298</v>
      </c>
      <c r="D11" s="5" t="s">
        <v>625</v>
      </c>
      <c r="E11" s="5" t="s">
        <v>266</v>
      </c>
      <c r="F11" s="26" t="s">
        <v>333</v>
      </c>
      <c r="G11" s="26" t="s">
        <v>78</v>
      </c>
      <c r="H11" s="352">
        <v>35000000</v>
      </c>
      <c r="I11" s="349">
        <v>35000000</v>
      </c>
      <c r="J11" s="6">
        <v>44210</v>
      </c>
      <c r="K11" s="6">
        <f>J11+35</f>
        <v>44245</v>
      </c>
      <c r="L11" s="349">
        <v>35000000</v>
      </c>
      <c r="M11" s="6">
        <f>J11+180</f>
        <v>44390</v>
      </c>
      <c r="N11" s="349"/>
      <c r="O11" s="349"/>
      <c r="P11" s="6"/>
      <c r="Q11" s="5" t="s">
        <v>264</v>
      </c>
      <c r="R11" s="489" t="s">
        <v>639</v>
      </c>
      <c r="S11" s="381"/>
    </row>
    <row r="12" spans="1:22" s="5" customFormat="1">
      <c r="A12" s="13">
        <v>42</v>
      </c>
      <c r="B12" s="13">
        <v>64</v>
      </c>
      <c r="C12" s="13" t="s">
        <v>458</v>
      </c>
      <c r="D12" s="13" t="s">
        <v>390</v>
      </c>
      <c r="E12" s="13" t="s">
        <v>266</v>
      </c>
      <c r="F12" s="36" t="s">
        <v>467</v>
      </c>
      <c r="G12" s="36" t="s">
        <v>78</v>
      </c>
      <c r="H12" s="425">
        <v>0</v>
      </c>
      <c r="I12" s="289"/>
      <c r="J12" s="11"/>
      <c r="K12" s="11"/>
      <c r="L12" s="289"/>
      <c r="M12" s="11"/>
      <c r="N12" s="350"/>
      <c r="O12" s="350"/>
      <c r="P12" s="11"/>
      <c r="Q12" s="13" t="s">
        <v>264</v>
      </c>
      <c r="R12" s="93" t="s">
        <v>642</v>
      </c>
    </row>
    <row r="13" spans="1:22">
      <c r="A13" s="13">
        <v>45</v>
      </c>
      <c r="B13" s="13">
        <v>67</v>
      </c>
      <c r="C13" s="13">
        <v>5306</v>
      </c>
      <c r="D13" s="13" t="s">
        <v>390</v>
      </c>
      <c r="E13" s="13" t="s">
        <v>468</v>
      </c>
      <c r="F13" s="36" t="s">
        <v>469</v>
      </c>
      <c r="G13" s="36" t="s">
        <v>470</v>
      </c>
      <c r="H13" s="425">
        <v>30000000</v>
      </c>
      <c r="I13" s="289">
        <f>H13</f>
        <v>30000000</v>
      </c>
      <c r="J13" s="11">
        <v>44211</v>
      </c>
      <c r="K13" s="11">
        <f>J13+35</f>
        <v>44246</v>
      </c>
      <c r="L13" s="289">
        <v>30000000</v>
      </c>
      <c r="M13" s="11">
        <f>J13+180</f>
        <v>44391</v>
      </c>
      <c r="N13" s="289">
        <v>0</v>
      </c>
      <c r="O13" s="289">
        <f>L13-N13</f>
        <v>30000000</v>
      </c>
      <c r="P13" s="11">
        <v>44357</v>
      </c>
      <c r="Q13" s="13" t="s">
        <v>264</v>
      </c>
      <c r="R13" s="445" t="s">
        <v>641</v>
      </c>
    </row>
    <row r="14" spans="1:22">
      <c r="A14" s="13">
        <v>46</v>
      </c>
      <c r="B14" s="13">
        <v>68</v>
      </c>
      <c r="C14" s="13" t="s">
        <v>459</v>
      </c>
      <c r="D14" s="13" t="s">
        <v>390</v>
      </c>
      <c r="E14" s="13" t="s">
        <v>266</v>
      </c>
      <c r="F14" s="36" t="s">
        <v>471</v>
      </c>
      <c r="G14" s="36" t="s">
        <v>78</v>
      </c>
      <c r="H14" s="425">
        <v>0</v>
      </c>
      <c r="I14" s="289"/>
      <c r="J14" s="11"/>
      <c r="K14" s="11"/>
      <c r="L14" s="289"/>
      <c r="N14" s="289"/>
      <c r="O14" s="289"/>
      <c r="P14" s="11"/>
      <c r="Q14" s="13" t="s">
        <v>264</v>
      </c>
      <c r="R14" s="93"/>
    </row>
    <row r="15" spans="1:22">
      <c r="A15" s="13">
        <v>47</v>
      </c>
      <c r="B15" s="13">
        <v>69</v>
      </c>
      <c r="C15" s="13" t="s">
        <v>460</v>
      </c>
      <c r="D15" s="13" t="s">
        <v>390</v>
      </c>
      <c r="E15" s="13" t="s">
        <v>266</v>
      </c>
      <c r="F15" s="36" t="s">
        <v>472</v>
      </c>
      <c r="G15" s="36" t="s">
        <v>78</v>
      </c>
      <c r="H15" s="425">
        <v>0</v>
      </c>
      <c r="I15" s="289"/>
      <c r="J15" s="11"/>
      <c r="K15" s="11"/>
      <c r="L15" s="289"/>
      <c r="N15" s="289"/>
      <c r="O15" s="289"/>
      <c r="P15" s="11"/>
      <c r="Q15" s="13" t="s">
        <v>264</v>
      </c>
      <c r="R15" s="93" t="s">
        <v>646</v>
      </c>
    </row>
    <row r="16" spans="1:22" s="90" customFormat="1" ht="11.4">
      <c r="A16" s="90">
        <v>59</v>
      </c>
      <c r="B16" s="90">
        <v>80</v>
      </c>
      <c r="C16" s="90">
        <v>5318</v>
      </c>
      <c r="D16" s="90" t="s">
        <v>625</v>
      </c>
      <c r="E16" s="90" t="s">
        <v>266</v>
      </c>
      <c r="F16" s="89" t="s">
        <v>473</v>
      </c>
      <c r="G16" s="89" t="s">
        <v>78</v>
      </c>
      <c r="H16" s="482">
        <v>50000000</v>
      </c>
      <c r="I16" s="481">
        <f>H16</f>
        <v>50000000</v>
      </c>
      <c r="J16" s="92">
        <v>44223</v>
      </c>
      <c r="K16" s="92">
        <f>J16+35</f>
        <v>44258</v>
      </c>
      <c r="L16" s="481">
        <v>50000000</v>
      </c>
      <c r="M16" s="92">
        <f>J16+180</f>
        <v>44403</v>
      </c>
      <c r="N16" s="481"/>
      <c r="O16" s="481"/>
      <c r="P16" s="92"/>
      <c r="Q16" s="90" t="s">
        <v>264</v>
      </c>
      <c r="R16" s="492" t="s">
        <v>660</v>
      </c>
      <c r="S16" s="493"/>
    </row>
    <row r="17" spans="1:19" s="512" customFormat="1">
      <c r="A17" s="512">
        <v>61</v>
      </c>
      <c r="B17" s="512">
        <v>82</v>
      </c>
      <c r="C17" s="512" t="s">
        <v>461</v>
      </c>
      <c r="D17" s="512" t="s">
        <v>43</v>
      </c>
      <c r="E17" s="512" t="s">
        <v>266</v>
      </c>
      <c r="F17" s="513" t="s">
        <v>474</v>
      </c>
      <c r="G17" s="513" t="s">
        <v>78</v>
      </c>
      <c r="H17" s="518">
        <v>0</v>
      </c>
      <c r="I17" s="514"/>
      <c r="J17" s="515"/>
      <c r="K17" s="515"/>
      <c r="L17" s="514"/>
      <c r="M17" s="515"/>
      <c r="N17" s="514"/>
      <c r="O17" s="514"/>
      <c r="P17" s="515"/>
      <c r="Q17" s="512" t="s">
        <v>264</v>
      </c>
      <c r="R17" s="519"/>
    </row>
    <row r="18" spans="1:19" s="512" customFormat="1">
      <c r="A18" s="512">
        <v>72</v>
      </c>
      <c r="B18" s="512">
        <v>93</v>
      </c>
      <c r="C18" s="512" t="s">
        <v>462</v>
      </c>
      <c r="D18" s="512" t="s">
        <v>43</v>
      </c>
      <c r="E18" s="512" t="s">
        <v>266</v>
      </c>
      <c r="F18" s="513" t="s">
        <v>475</v>
      </c>
      <c r="G18" s="513" t="s">
        <v>78</v>
      </c>
      <c r="H18" s="518">
        <v>0</v>
      </c>
      <c r="I18" s="514"/>
      <c r="J18" s="515"/>
      <c r="K18" s="515"/>
      <c r="L18" s="514"/>
      <c r="M18" s="515"/>
      <c r="N18" s="514"/>
      <c r="O18" s="514"/>
      <c r="P18" s="515"/>
      <c r="Q18" s="512" t="s">
        <v>264</v>
      </c>
      <c r="R18" s="519"/>
    </row>
    <row r="19" spans="1:19" s="512" customFormat="1">
      <c r="A19" s="512">
        <v>82</v>
      </c>
      <c r="B19" s="512">
        <v>102</v>
      </c>
      <c r="C19" s="512" t="s">
        <v>463</v>
      </c>
      <c r="D19" s="512" t="s">
        <v>43</v>
      </c>
      <c r="E19" s="512" t="s">
        <v>266</v>
      </c>
      <c r="F19" s="513" t="s">
        <v>476</v>
      </c>
      <c r="G19" s="513" t="s">
        <v>78</v>
      </c>
      <c r="H19" s="518">
        <v>0</v>
      </c>
      <c r="I19" s="514"/>
      <c r="J19" s="515"/>
      <c r="K19" s="515"/>
      <c r="L19" s="514"/>
      <c r="M19" s="515"/>
      <c r="N19" s="514"/>
      <c r="O19" s="514"/>
      <c r="P19" s="515"/>
      <c r="Q19" s="512" t="s">
        <v>264</v>
      </c>
      <c r="R19" s="519"/>
    </row>
    <row r="20" spans="1:19" s="512" customFormat="1">
      <c r="A20" s="512">
        <v>91</v>
      </c>
      <c r="B20" s="512">
        <v>107</v>
      </c>
      <c r="C20" s="512" t="s">
        <v>477</v>
      </c>
      <c r="D20" s="512" t="s">
        <v>43</v>
      </c>
      <c r="E20" s="512" t="s">
        <v>266</v>
      </c>
      <c r="F20" s="513" t="s">
        <v>480</v>
      </c>
      <c r="G20" s="513" t="s">
        <v>78</v>
      </c>
      <c r="H20" s="518">
        <v>0</v>
      </c>
      <c r="I20" s="514"/>
      <c r="J20" s="515"/>
      <c r="K20" s="515"/>
      <c r="L20" s="514"/>
      <c r="M20" s="515"/>
      <c r="N20" s="514"/>
      <c r="O20" s="514"/>
      <c r="P20" s="515"/>
      <c r="Q20" s="512" t="s">
        <v>272</v>
      </c>
      <c r="R20" s="515"/>
    </row>
    <row r="21" spans="1:19" s="512" customFormat="1">
      <c r="A21" s="512">
        <v>106</v>
      </c>
      <c r="B21" s="512">
        <v>114</v>
      </c>
      <c r="C21" s="512" t="s">
        <v>478</v>
      </c>
      <c r="D21" s="512" t="s">
        <v>43</v>
      </c>
      <c r="E21" s="512" t="s">
        <v>266</v>
      </c>
      <c r="F21" s="513" t="s">
        <v>481</v>
      </c>
      <c r="G21" s="513" t="s">
        <v>78</v>
      </c>
      <c r="H21" s="518">
        <v>0</v>
      </c>
      <c r="I21" s="514"/>
      <c r="J21" s="515"/>
      <c r="K21" s="515"/>
      <c r="L21" s="514"/>
      <c r="M21" s="515"/>
      <c r="N21" s="514"/>
      <c r="O21" s="514"/>
      <c r="P21" s="515"/>
      <c r="Q21" s="512" t="s">
        <v>272</v>
      </c>
      <c r="R21" s="515"/>
    </row>
    <row r="22" spans="1:19" s="512" customFormat="1">
      <c r="A22" s="512">
        <v>117</v>
      </c>
      <c r="B22" s="512">
        <v>119</v>
      </c>
      <c r="C22" s="512" t="s">
        <v>479</v>
      </c>
      <c r="D22" s="512" t="s">
        <v>43</v>
      </c>
      <c r="E22" s="512" t="s">
        <v>266</v>
      </c>
      <c r="F22" s="513" t="s">
        <v>482</v>
      </c>
      <c r="G22" s="513" t="s">
        <v>78</v>
      </c>
      <c r="H22" s="518">
        <v>0</v>
      </c>
      <c r="I22" s="514"/>
      <c r="J22" s="515"/>
      <c r="K22" s="515"/>
      <c r="L22" s="514"/>
      <c r="M22" s="515"/>
      <c r="N22" s="514"/>
      <c r="O22" s="514"/>
      <c r="P22" s="515"/>
      <c r="Q22" s="512" t="s">
        <v>272</v>
      </c>
      <c r="R22" s="515"/>
    </row>
    <row r="23" spans="1:19" s="512" customFormat="1">
      <c r="A23" s="512" t="s">
        <v>146</v>
      </c>
      <c r="B23" s="512" t="s">
        <v>146</v>
      </c>
      <c r="C23" s="512" t="s">
        <v>483</v>
      </c>
      <c r="D23" s="512" t="s">
        <v>43</v>
      </c>
      <c r="E23" s="512" t="s">
        <v>266</v>
      </c>
      <c r="F23" s="513" t="s">
        <v>330</v>
      </c>
      <c r="G23" s="513" t="s">
        <v>78</v>
      </c>
      <c r="H23" s="518">
        <v>0</v>
      </c>
      <c r="I23" s="514"/>
      <c r="J23" s="515"/>
      <c r="K23" s="515"/>
      <c r="L23" s="514"/>
      <c r="M23" s="515"/>
      <c r="N23" s="514"/>
      <c r="O23" s="514"/>
      <c r="P23" s="515"/>
      <c r="Q23" s="512" t="s">
        <v>272</v>
      </c>
      <c r="R23" s="515"/>
    </row>
    <row r="24" spans="1:19" s="5" customFormat="1" ht="11.4">
      <c r="A24" s="5" t="s">
        <v>146</v>
      </c>
      <c r="B24" s="5" t="s">
        <v>146</v>
      </c>
      <c r="C24" s="5">
        <v>5317</v>
      </c>
      <c r="D24" s="5" t="s">
        <v>625</v>
      </c>
      <c r="E24" s="5" t="s">
        <v>97</v>
      </c>
      <c r="F24" s="26" t="s">
        <v>645</v>
      </c>
      <c r="G24" s="26" t="s">
        <v>95</v>
      </c>
      <c r="H24" s="352">
        <v>25000000</v>
      </c>
      <c r="I24" s="349">
        <f>H24</f>
        <v>25000000</v>
      </c>
      <c r="J24" s="6">
        <v>44223</v>
      </c>
      <c r="K24" s="6">
        <f>J24+35</f>
        <v>44258</v>
      </c>
      <c r="L24" s="349">
        <v>25000000</v>
      </c>
      <c r="M24" s="6">
        <f>J24+180</f>
        <v>44403</v>
      </c>
      <c r="N24" s="349"/>
      <c r="O24" s="349"/>
      <c r="P24" s="6"/>
      <c r="Q24" s="5" t="s">
        <v>264</v>
      </c>
      <c r="R24" s="489" t="s">
        <v>657</v>
      </c>
      <c r="S24" s="381" t="s">
        <v>659</v>
      </c>
    </row>
    <row r="25" spans="1:19" s="512" customFormat="1">
      <c r="A25" s="512" t="s">
        <v>146</v>
      </c>
      <c r="B25" s="512" t="s">
        <v>146</v>
      </c>
      <c r="C25" s="512" t="s">
        <v>653</v>
      </c>
      <c r="D25" s="512" t="s">
        <v>43</v>
      </c>
      <c r="E25" s="512" t="s">
        <v>266</v>
      </c>
      <c r="F25" s="513" t="s">
        <v>654</v>
      </c>
      <c r="G25" s="513" t="s">
        <v>78</v>
      </c>
      <c r="H25" s="518">
        <v>0</v>
      </c>
      <c r="I25" s="514"/>
      <c r="J25" s="515"/>
      <c r="K25" s="515"/>
      <c r="L25" s="514"/>
      <c r="M25" s="515"/>
      <c r="N25" s="514"/>
      <c r="O25" s="514"/>
      <c r="P25" s="515"/>
      <c r="Q25" s="512" t="s">
        <v>272</v>
      </c>
      <c r="R25" s="519"/>
    </row>
    <row r="26" spans="1:19" s="512" customFormat="1">
      <c r="A26" s="512" t="s">
        <v>146</v>
      </c>
      <c r="B26" s="512" t="s">
        <v>146</v>
      </c>
      <c r="C26" s="512" t="s">
        <v>655</v>
      </c>
      <c r="D26" s="512" t="s">
        <v>43</v>
      </c>
      <c r="E26" s="512" t="s">
        <v>266</v>
      </c>
      <c r="F26" s="513" t="s">
        <v>467</v>
      </c>
      <c r="G26" s="513" t="s">
        <v>78</v>
      </c>
      <c r="H26" s="518">
        <v>0</v>
      </c>
      <c r="I26" s="514"/>
      <c r="J26" s="515"/>
      <c r="K26" s="515"/>
      <c r="L26" s="514"/>
      <c r="M26" s="515"/>
      <c r="N26" s="514"/>
      <c r="O26" s="514"/>
      <c r="P26" s="515"/>
      <c r="Q26" s="512" t="s">
        <v>272</v>
      </c>
      <c r="R26" s="519"/>
    </row>
    <row r="27" spans="1:19">
      <c r="F27" s="36"/>
      <c r="G27" s="36"/>
      <c r="H27" s="425"/>
      <c r="I27" s="289"/>
      <c r="J27" s="11"/>
      <c r="K27" s="11"/>
      <c r="L27" s="289"/>
      <c r="N27" s="289"/>
      <c r="O27" s="289"/>
      <c r="P27" s="11"/>
      <c r="R27" s="11"/>
    </row>
    <row r="28" spans="1:19">
      <c r="A28" s="43"/>
      <c r="B28" s="43"/>
      <c r="C28" s="43"/>
      <c r="D28" s="43"/>
      <c r="E28" s="1"/>
      <c r="F28" s="13" t="s">
        <v>19</v>
      </c>
      <c r="H28" s="263">
        <f>SUM(H7:H27)</f>
        <v>200000000</v>
      </c>
      <c r="I28" s="263">
        <f>SUM(I7:I27)</f>
        <v>200000000</v>
      </c>
      <c r="J28" s="10"/>
      <c r="K28" s="10"/>
      <c r="L28" s="263">
        <f>SUM(L7:L27)</f>
        <v>200000000</v>
      </c>
      <c r="M28" s="10"/>
      <c r="N28" s="263">
        <f>SUM(N7:N27)</f>
        <v>0</v>
      </c>
      <c r="O28" s="263">
        <f>SUM(O7:O27)</f>
        <v>30000000</v>
      </c>
    </row>
    <row r="29" spans="1:19" s="1" customFormat="1">
      <c r="A29" s="5"/>
      <c r="B29" s="5"/>
      <c r="C29" s="5"/>
      <c r="D29" s="88"/>
      <c r="F29" s="13"/>
      <c r="H29" s="76"/>
      <c r="J29" s="11"/>
      <c r="K29" s="11"/>
      <c r="L29" s="9"/>
      <c r="M29" s="6"/>
      <c r="Q29" s="13"/>
    </row>
    <row r="30" spans="1:19" s="1" customFormat="1">
      <c r="A30" s="5"/>
      <c r="B30" s="5"/>
      <c r="C30" s="5"/>
      <c r="E30" s="5"/>
      <c r="F30" s="13" t="s">
        <v>43</v>
      </c>
      <c r="G30" s="5"/>
      <c r="H30" s="34">
        <f>H28-I28</f>
        <v>0</v>
      </c>
      <c r="I30" s="9"/>
      <c r="L30" s="9"/>
      <c r="Q30" s="13"/>
    </row>
    <row r="31" spans="1:19" s="1" customFormat="1">
      <c r="A31" s="5"/>
      <c r="B31" s="5"/>
      <c r="C31" s="5"/>
      <c r="E31" s="5"/>
      <c r="G31" s="5"/>
      <c r="H31" s="67"/>
      <c r="I31" s="9"/>
      <c r="K31" s="138"/>
      <c r="L31" s="9"/>
      <c r="M31" s="3"/>
      <c r="N31" s="8"/>
      <c r="Q31" s="13"/>
    </row>
    <row r="32" spans="1:19" s="1" customFormat="1">
      <c r="A32" s="5"/>
      <c r="B32" s="5"/>
      <c r="C32" s="5"/>
      <c r="E32" s="133"/>
      <c r="F32" s="58" t="s">
        <v>10</v>
      </c>
      <c r="G32" s="5"/>
      <c r="H32" s="77">
        <f>E1-I28+O28+G38</f>
        <v>61311236</v>
      </c>
      <c r="I32" s="292"/>
      <c r="J32" s="138"/>
      <c r="L32" s="167"/>
      <c r="M32" s="3"/>
      <c r="N32" s="2"/>
      <c r="Q32" s="13"/>
    </row>
    <row r="33" spans="1:14">
      <c r="D33" s="43"/>
      <c r="F33" s="58"/>
      <c r="H33" s="27"/>
      <c r="I33" s="97"/>
      <c r="L33" s="404"/>
      <c r="N33" s="366"/>
    </row>
    <row r="34" spans="1:14">
      <c r="D34" s="43"/>
      <c r="F34" s="58"/>
      <c r="H34" s="27"/>
      <c r="I34" s="97"/>
      <c r="N34" s="366"/>
    </row>
    <row r="35" spans="1:14">
      <c r="D35" s="43"/>
      <c r="F35" s="58"/>
      <c r="H35" s="27"/>
      <c r="I35" s="97"/>
      <c r="L35" s="405"/>
      <c r="N35" s="12"/>
    </row>
    <row r="36" spans="1:14">
      <c r="D36" s="43"/>
      <c r="G36" s="289"/>
      <c r="H36" s="288"/>
      <c r="N36" s="12"/>
    </row>
    <row r="37" spans="1:14">
      <c r="A37" s="43"/>
      <c r="B37" s="43"/>
      <c r="C37" s="13">
        <v>5247</v>
      </c>
      <c r="D37" s="43" t="s">
        <v>77</v>
      </c>
      <c r="E37" s="13" t="s">
        <v>97</v>
      </c>
      <c r="F37" s="13" t="s">
        <v>94</v>
      </c>
      <c r="G37" s="390">
        <v>25000000</v>
      </c>
      <c r="H37" s="288" t="s">
        <v>658</v>
      </c>
      <c r="I37" s="306"/>
      <c r="N37" s="12"/>
    </row>
    <row r="38" spans="1:14">
      <c r="E38" s="43"/>
      <c r="F38" s="43"/>
      <c r="G38" s="298">
        <f>SUM(G36:G37)</f>
        <v>25000000</v>
      </c>
      <c r="H38" s="166"/>
      <c r="I38" s="51"/>
      <c r="J38" s="11"/>
    </row>
    <row r="39" spans="1:14">
      <c r="A39" s="94"/>
      <c r="B39" s="94"/>
      <c r="C39" s="94"/>
      <c r="D39" s="94"/>
    </row>
    <row r="40" spans="1:14">
      <c r="E40" s="94"/>
      <c r="F40" s="94"/>
      <c r="G40" s="94"/>
      <c r="H40" s="94"/>
      <c r="I40" s="118"/>
    </row>
    <row r="41" spans="1:14">
      <c r="A41" s="93"/>
      <c r="B41" s="93"/>
      <c r="C41" s="93"/>
      <c r="D41" s="93"/>
    </row>
    <row r="42" spans="1:14">
      <c r="E42" s="93"/>
      <c r="F42" s="132"/>
      <c r="G42" s="93"/>
      <c r="H42" s="132"/>
    </row>
    <row r="43" spans="1:14">
      <c r="A43" s="93"/>
      <c r="B43" s="93"/>
      <c r="C43" s="93"/>
      <c r="D43" s="93"/>
      <c r="N43" s="12"/>
    </row>
    <row r="44" spans="1:14">
      <c r="E44" s="93"/>
      <c r="F44" s="93"/>
      <c r="G44" s="93"/>
      <c r="H44" s="93"/>
    </row>
  </sheetData>
  <phoneticPr fontId="0" type="noConversion"/>
  <pageMargins left="0.75" right="0.75" top="1" bottom="1" header="0.5" footer="0.5"/>
  <pageSetup scale="75" fitToWidth="2" fitToHeight="3" orientation="landscape" horizontalDpi="4294967292" verticalDpi="4294967292" r:id="rId1"/>
  <headerFooter alignWithMargins="0"/>
  <colBreaks count="1" manualBreakCount="1">
    <brk id="16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20">
    <tabColor theme="0" tint="-0.499984740745262"/>
  </sheetPr>
  <dimension ref="A1:V19"/>
  <sheetViews>
    <sheetView zoomScaleNormal="100" workbookViewId="0">
      <selection activeCell="H13" sqref="H13"/>
    </sheetView>
  </sheetViews>
  <sheetFormatPr defaultColWidth="10.875" defaultRowHeight="12"/>
  <cols>
    <col min="1" max="1" width="9.25" style="13" customWidth="1"/>
    <col min="2" max="2" width="7.125" style="13" bestFit="1" customWidth="1"/>
    <col min="3" max="3" width="10.125" style="13" bestFit="1" customWidth="1"/>
    <col min="4" max="4" width="12.25" style="13" bestFit="1" customWidth="1"/>
    <col min="5" max="5" width="25.625" style="13" customWidth="1"/>
    <col min="6" max="6" width="27.375" style="13" customWidth="1"/>
    <col min="7" max="7" width="11.25" style="13" bestFit="1" customWidth="1"/>
    <col min="8" max="8" width="13.875" style="12" bestFit="1" customWidth="1"/>
    <col min="9" max="9" width="12.75" style="35" bestFit="1" customWidth="1"/>
    <col min="10" max="10" width="15.25" style="13" bestFit="1" customWidth="1"/>
    <col min="11" max="11" width="10.875" style="13" bestFit="1" customWidth="1"/>
    <col min="12" max="12" width="12.625" style="35" bestFit="1" customWidth="1"/>
    <col min="13" max="13" width="10.875" style="13" bestFit="1" customWidth="1"/>
    <col min="14" max="14" width="15.25" style="12" bestFit="1" customWidth="1"/>
    <col min="15" max="15" width="12.25" style="12" bestFit="1" customWidth="1"/>
    <col min="16" max="16" width="10.625" style="13" bestFit="1" customWidth="1"/>
    <col min="17" max="17" width="10.25" style="13" bestFit="1" customWidth="1"/>
    <col min="18" max="18" width="39" style="13" customWidth="1"/>
    <col min="19" max="16384" width="10.875" style="13"/>
  </cols>
  <sheetData>
    <row r="1" spans="1:22" s="17" customFormat="1" ht="11.4">
      <c r="A1" s="16" t="s">
        <v>12</v>
      </c>
      <c r="B1" s="291"/>
      <c r="C1" s="291"/>
      <c r="E1" s="382">
        <f>ROUND(Totals!$H$8*Totals!$P$11, 0)</f>
        <v>29492488</v>
      </c>
      <c r="F1" s="18"/>
      <c r="G1" s="18"/>
      <c r="H1" s="332"/>
      <c r="I1" s="333"/>
      <c r="J1" s="284"/>
      <c r="K1" s="284"/>
      <c r="L1" s="333"/>
      <c r="M1" s="284"/>
      <c r="N1" s="332"/>
      <c r="O1" s="332"/>
      <c r="P1" s="284"/>
      <c r="R1" s="285"/>
      <c r="S1" s="5"/>
      <c r="T1" s="5"/>
      <c r="U1" s="5"/>
      <c r="V1" s="5"/>
    </row>
    <row r="2" spans="1:22" s="5" customFormat="1" ht="11.4">
      <c r="A2" s="25" t="s">
        <v>71</v>
      </c>
      <c r="B2" s="48"/>
      <c r="C2" s="48"/>
      <c r="E2" s="26"/>
      <c r="F2" s="26"/>
      <c r="G2" s="26"/>
      <c r="H2" s="46"/>
      <c r="I2" s="47"/>
      <c r="J2" s="6"/>
      <c r="K2" s="6"/>
      <c r="L2" s="47"/>
      <c r="M2" s="6"/>
      <c r="N2" s="46"/>
      <c r="O2" s="46"/>
      <c r="P2" s="6"/>
      <c r="R2" s="286"/>
    </row>
    <row r="3" spans="1:22">
      <c r="A3" s="136"/>
      <c r="B3" s="43"/>
      <c r="C3" s="43"/>
      <c r="E3" s="36"/>
      <c r="F3" s="36"/>
      <c r="G3" s="36"/>
      <c r="H3" s="44"/>
      <c r="I3" s="86"/>
      <c r="L3" s="13"/>
      <c r="M3" s="11"/>
      <c r="N3" s="44"/>
      <c r="O3" s="44"/>
      <c r="P3" s="11"/>
      <c r="Q3" s="1"/>
      <c r="R3" s="287"/>
      <c r="S3" s="5"/>
      <c r="T3" s="5"/>
      <c r="U3" s="5"/>
      <c r="V3" s="5"/>
    </row>
    <row r="4" spans="1:22" s="5" customFormat="1">
      <c r="A4" s="31" t="s">
        <v>206</v>
      </c>
      <c r="B4" s="5" t="s">
        <v>208</v>
      </c>
      <c r="C4" s="5" t="s">
        <v>32</v>
      </c>
      <c r="D4" s="5" t="s">
        <v>37</v>
      </c>
      <c r="E4" s="5" t="s">
        <v>31</v>
      </c>
      <c r="F4" s="26" t="s">
        <v>49</v>
      </c>
      <c r="G4" s="26" t="s">
        <v>45</v>
      </c>
      <c r="H4" s="84" t="s">
        <v>23</v>
      </c>
      <c r="I4" s="32" t="s">
        <v>8</v>
      </c>
      <c r="J4" s="6" t="s">
        <v>14</v>
      </c>
      <c r="K4" s="6" t="s">
        <v>34</v>
      </c>
      <c r="L4" s="32" t="s">
        <v>4</v>
      </c>
      <c r="M4" s="6" t="s">
        <v>157</v>
      </c>
      <c r="N4" s="32" t="s">
        <v>27</v>
      </c>
      <c r="O4" s="32" t="s">
        <v>44</v>
      </c>
      <c r="P4" s="6" t="s">
        <v>22</v>
      </c>
      <c r="Q4" s="5" t="s">
        <v>172</v>
      </c>
      <c r="R4" s="30" t="s">
        <v>286</v>
      </c>
      <c r="S4" s="13"/>
      <c r="T4" s="13"/>
      <c r="U4" s="13"/>
      <c r="V4" s="13"/>
    </row>
    <row r="5" spans="1:22" s="5" customFormat="1">
      <c r="A5" s="31" t="s">
        <v>207</v>
      </c>
      <c r="B5" s="5" t="s">
        <v>207</v>
      </c>
      <c r="C5" s="5" t="s">
        <v>48</v>
      </c>
      <c r="D5" s="13"/>
      <c r="F5" s="26"/>
      <c r="G5" s="26"/>
      <c r="H5" s="84" t="s">
        <v>42</v>
      </c>
      <c r="I5" s="32" t="s">
        <v>42</v>
      </c>
      <c r="J5" s="6" t="s">
        <v>9</v>
      </c>
      <c r="K5" s="6" t="s">
        <v>18</v>
      </c>
      <c r="L5" s="32" t="s">
        <v>42</v>
      </c>
      <c r="M5" s="6" t="s">
        <v>18</v>
      </c>
      <c r="N5" s="32" t="s">
        <v>42</v>
      </c>
      <c r="O5" s="32" t="s">
        <v>42</v>
      </c>
      <c r="P5" s="6" t="s">
        <v>5</v>
      </c>
      <c r="Q5" s="5" t="s">
        <v>171</v>
      </c>
      <c r="R5" s="30" t="s">
        <v>287</v>
      </c>
      <c r="S5" s="13"/>
      <c r="T5" s="13"/>
      <c r="U5" s="13"/>
      <c r="V5" s="13"/>
    </row>
    <row r="6" spans="1:22" s="5" customFormat="1" ht="12.6" thickBot="1">
      <c r="A6" s="37"/>
      <c r="B6" s="33"/>
      <c r="C6" s="33" t="s">
        <v>173</v>
      </c>
      <c r="D6" s="38"/>
      <c r="E6" s="33"/>
      <c r="F6" s="39"/>
      <c r="G6" s="39"/>
      <c r="H6" s="130"/>
      <c r="I6" s="55"/>
      <c r="J6" s="40"/>
      <c r="K6" s="40"/>
      <c r="L6" s="55"/>
      <c r="M6" s="40"/>
      <c r="N6" s="55"/>
      <c r="O6" s="55"/>
      <c r="P6" s="40"/>
      <c r="Q6" s="38"/>
      <c r="R6" s="386" t="s">
        <v>9</v>
      </c>
      <c r="S6" s="13"/>
      <c r="T6" s="13"/>
      <c r="U6" s="13"/>
      <c r="V6" s="13"/>
    </row>
    <row r="7" spans="1:22" s="512" customFormat="1">
      <c r="A7" s="512">
        <v>112</v>
      </c>
      <c r="B7" s="512">
        <v>42</v>
      </c>
      <c r="C7" s="512" t="s">
        <v>484</v>
      </c>
      <c r="D7" s="512" t="s">
        <v>43</v>
      </c>
      <c r="E7" s="512" t="s">
        <v>416</v>
      </c>
      <c r="F7" s="513" t="s">
        <v>485</v>
      </c>
      <c r="G7" s="513" t="s">
        <v>349</v>
      </c>
      <c r="H7" s="514">
        <v>0</v>
      </c>
      <c r="I7" s="520"/>
      <c r="J7" s="515"/>
      <c r="K7" s="515"/>
      <c r="L7" s="520"/>
      <c r="M7" s="515"/>
      <c r="N7" s="514"/>
      <c r="O7" s="517"/>
      <c r="P7" s="515"/>
      <c r="Q7" s="512" t="s">
        <v>242</v>
      </c>
      <c r="R7" s="521"/>
    </row>
    <row r="8" spans="1:22">
      <c r="F8" s="36"/>
      <c r="G8" s="36"/>
      <c r="H8" s="289"/>
      <c r="I8" s="289"/>
      <c r="J8" s="11"/>
      <c r="K8" s="11"/>
      <c r="L8" s="289"/>
      <c r="M8" s="11"/>
      <c r="N8" s="350"/>
      <c r="O8" s="361"/>
      <c r="P8" s="11"/>
      <c r="R8" s="43"/>
    </row>
    <row r="9" spans="1:22">
      <c r="A9" s="43"/>
      <c r="B9" s="43"/>
      <c r="C9" s="43"/>
      <c r="D9" s="43"/>
      <c r="E9" s="1"/>
      <c r="F9" s="13" t="s">
        <v>19</v>
      </c>
      <c r="H9" s="263">
        <f>SUM(H7:H8)</f>
        <v>0</v>
      </c>
      <c r="I9" s="263">
        <f>SUM(I7:I8)</f>
        <v>0</v>
      </c>
      <c r="J9" s="10"/>
      <c r="K9" s="10"/>
      <c r="L9" s="263">
        <f>SUM(L7:L8)</f>
        <v>0</v>
      </c>
      <c r="M9" s="10"/>
      <c r="N9" s="263">
        <f>SUM(N7:N8)</f>
        <v>0</v>
      </c>
      <c r="O9" s="263">
        <f>SUM(O7:O8)</f>
        <v>0</v>
      </c>
    </row>
    <row r="10" spans="1:22" s="1" customFormat="1">
      <c r="A10" s="5"/>
      <c r="B10" s="5"/>
      <c r="C10" s="5"/>
      <c r="D10" s="88"/>
      <c r="F10" s="13"/>
      <c r="H10" s="76"/>
      <c r="J10" s="11"/>
      <c r="K10" s="11"/>
      <c r="L10" s="9"/>
      <c r="M10" s="6"/>
      <c r="Q10" s="13"/>
    </row>
    <row r="11" spans="1:22" s="1" customFormat="1">
      <c r="A11" s="5"/>
      <c r="B11" s="5"/>
      <c r="C11" s="5"/>
      <c r="E11" s="5"/>
      <c r="F11" s="13" t="s">
        <v>43</v>
      </c>
      <c r="G11" s="5"/>
      <c r="H11" s="34">
        <f>SUM(H9-I9)</f>
        <v>0</v>
      </c>
      <c r="I11" s="9"/>
      <c r="L11" s="83"/>
      <c r="M11" s="3"/>
      <c r="Q11" s="13"/>
    </row>
    <row r="12" spans="1:22" s="1" customFormat="1">
      <c r="A12" s="5"/>
      <c r="B12" s="5"/>
      <c r="C12" s="5"/>
      <c r="E12" s="5"/>
      <c r="G12" s="5"/>
      <c r="H12" s="67"/>
      <c r="I12" s="9"/>
      <c r="K12" s="138"/>
      <c r="L12" s="9"/>
      <c r="N12" s="76"/>
      <c r="Q12" s="13"/>
    </row>
    <row r="13" spans="1:22" s="1" customFormat="1">
      <c r="A13" s="5"/>
      <c r="B13" s="5"/>
      <c r="C13" s="5"/>
      <c r="E13" s="133"/>
      <c r="F13" s="58" t="s">
        <v>10</v>
      </c>
      <c r="G13" s="5"/>
      <c r="H13" s="77">
        <f>+E1-I9+O9+G16</f>
        <v>29492488</v>
      </c>
      <c r="I13" s="292"/>
      <c r="J13" s="138"/>
      <c r="L13" s="9"/>
      <c r="M13" s="138"/>
      <c r="Q13" s="13"/>
    </row>
    <row r="14" spans="1:22">
      <c r="A14" s="43"/>
      <c r="B14" s="43"/>
      <c r="C14" s="43"/>
      <c r="D14" s="1"/>
      <c r="E14" s="1"/>
      <c r="F14" s="1"/>
      <c r="G14" s="1"/>
      <c r="H14" s="76"/>
    </row>
    <row r="15" spans="1:22">
      <c r="H15" s="65"/>
    </row>
    <row r="16" spans="1:22">
      <c r="G16" s="299"/>
      <c r="H16" s="65"/>
    </row>
    <row r="17" spans="8:13">
      <c r="H17" s="65"/>
    </row>
    <row r="18" spans="8:13">
      <c r="M18" s="11"/>
    </row>
    <row r="19" spans="8:13">
      <c r="M19" s="11"/>
    </row>
  </sheetData>
  <phoneticPr fontId="3" type="noConversion"/>
  <pageMargins left="0.75" right="0.75" top="1" bottom="1" header="0.5" footer="0.5"/>
  <pageSetup scale="5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0">
    <tabColor theme="0" tint="-0.499984740745262"/>
  </sheetPr>
  <dimension ref="A1:V18"/>
  <sheetViews>
    <sheetView zoomScaleNormal="100" workbookViewId="0">
      <selection activeCell="H14" sqref="H14"/>
    </sheetView>
  </sheetViews>
  <sheetFormatPr defaultColWidth="10.875" defaultRowHeight="12"/>
  <cols>
    <col min="1" max="1" width="9.625" style="13" customWidth="1"/>
    <col min="2" max="2" width="7.125" style="13" bestFit="1" customWidth="1"/>
    <col min="3" max="3" width="10.125" style="13" bestFit="1" customWidth="1"/>
    <col min="4" max="4" width="11" style="13" bestFit="1" customWidth="1"/>
    <col min="5" max="5" width="23.625" style="13" customWidth="1"/>
    <col min="6" max="6" width="33.75" style="13" customWidth="1"/>
    <col min="7" max="7" width="11.25" style="13" bestFit="1" customWidth="1"/>
    <col min="8" max="8" width="13.875" style="12" bestFit="1" customWidth="1"/>
    <col min="9" max="9" width="12.75" style="35" bestFit="1" customWidth="1"/>
    <col min="10" max="10" width="15.25" style="13" bestFit="1" customWidth="1"/>
    <col min="11" max="11" width="10.875" style="13" bestFit="1" customWidth="1"/>
    <col min="12" max="12" width="12.625" style="35" bestFit="1" customWidth="1"/>
    <col min="13" max="13" width="10.875" style="13" bestFit="1" customWidth="1"/>
    <col min="14" max="14" width="15.25" style="12" bestFit="1" customWidth="1"/>
    <col min="15" max="15" width="12.25" style="12" bestFit="1" customWidth="1"/>
    <col min="16" max="16" width="10.625" style="13" bestFit="1" customWidth="1"/>
    <col min="17" max="17" width="10.25" style="13" bestFit="1" customWidth="1"/>
    <col min="18" max="18" width="41.625" style="13" bestFit="1" customWidth="1"/>
    <col min="19" max="16384" width="10.875" style="13"/>
  </cols>
  <sheetData>
    <row r="1" spans="1:22" s="17" customFormat="1" ht="11.4">
      <c r="A1" s="16" t="s">
        <v>12</v>
      </c>
      <c r="B1" s="291"/>
      <c r="C1" s="291"/>
      <c r="E1" s="382">
        <f>ROUND(Totals!$H$8*Totals!$P$12, 0)</f>
        <v>19712258</v>
      </c>
      <c r="F1" s="18"/>
      <c r="G1" s="18"/>
      <c r="H1" s="332"/>
      <c r="I1" s="333"/>
      <c r="J1" s="284"/>
      <c r="K1" s="284"/>
      <c r="L1" s="333"/>
      <c r="M1" s="284"/>
      <c r="N1" s="332"/>
      <c r="O1" s="332"/>
      <c r="P1" s="284"/>
      <c r="R1" s="285"/>
      <c r="S1" s="5"/>
      <c r="T1" s="5"/>
      <c r="U1" s="5"/>
      <c r="V1" s="5"/>
    </row>
    <row r="2" spans="1:22" s="5" customFormat="1" ht="11.4">
      <c r="A2" s="25" t="s">
        <v>66</v>
      </c>
      <c r="B2" s="48"/>
      <c r="C2" s="48"/>
      <c r="E2" s="26"/>
      <c r="F2" s="26"/>
      <c r="G2" s="26"/>
      <c r="H2" s="46"/>
      <c r="I2" s="47"/>
      <c r="J2" s="6"/>
      <c r="K2" s="6"/>
      <c r="L2" s="47"/>
      <c r="M2" s="6"/>
      <c r="N2" s="46"/>
      <c r="O2" s="46"/>
      <c r="P2" s="6"/>
      <c r="R2" s="286"/>
    </row>
    <row r="3" spans="1:22">
      <c r="A3" s="136"/>
      <c r="B3" s="43"/>
      <c r="C3" s="43"/>
      <c r="E3" s="36"/>
      <c r="F3" s="36"/>
      <c r="G3" s="36"/>
      <c r="H3" s="44"/>
      <c r="I3" s="86"/>
      <c r="L3" s="13"/>
      <c r="M3" s="11"/>
      <c r="N3" s="44"/>
      <c r="O3" s="44"/>
      <c r="P3" s="11"/>
      <c r="Q3" s="1"/>
      <c r="R3" s="287"/>
      <c r="S3" s="5"/>
      <c r="T3" s="5"/>
      <c r="U3" s="5"/>
      <c r="V3" s="5"/>
    </row>
    <row r="4" spans="1:22" s="5" customFormat="1">
      <c r="A4" s="31" t="s">
        <v>206</v>
      </c>
      <c r="B4" s="5" t="s">
        <v>208</v>
      </c>
      <c r="C4" s="5" t="s">
        <v>32</v>
      </c>
      <c r="D4" s="5" t="s">
        <v>37</v>
      </c>
      <c r="E4" s="5" t="s">
        <v>31</v>
      </c>
      <c r="F4" s="26" t="s">
        <v>49</v>
      </c>
      <c r="G4" s="26" t="s">
        <v>45</v>
      </c>
      <c r="H4" s="84" t="s">
        <v>23</v>
      </c>
      <c r="I4" s="32" t="s">
        <v>8</v>
      </c>
      <c r="J4" s="6" t="s">
        <v>14</v>
      </c>
      <c r="K4" s="6" t="s">
        <v>34</v>
      </c>
      <c r="L4" s="32" t="s">
        <v>4</v>
      </c>
      <c r="M4" s="6" t="s">
        <v>157</v>
      </c>
      <c r="N4" s="32" t="s">
        <v>27</v>
      </c>
      <c r="O4" s="32" t="s">
        <v>44</v>
      </c>
      <c r="P4" s="6" t="s">
        <v>22</v>
      </c>
      <c r="Q4" s="5" t="s">
        <v>172</v>
      </c>
      <c r="R4" s="30" t="s">
        <v>286</v>
      </c>
      <c r="S4" s="13"/>
      <c r="T4" s="13"/>
      <c r="U4" s="13"/>
      <c r="V4" s="13"/>
    </row>
    <row r="5" spans="1:22" s="5" customFormat="1">
      <c r="A5" s="31" t="s">
        <v>207</v>
      </c>
      <c r="B5" s="5" t="s">
        <v>207</v>
      </c>
      <c r="C5" s="5" t="s">
        <v>48</v>
      </c>
      <c r="D5" s="13"/>
      <c r="F5" s="26"/>
      <c r="G5" s="26"/>
      <c r="H5" s="84" t="s">
        <v>42</v>
      </c>
      <c r="I5" s="32" t="s">
        <v>42</v>
      </c>
      <c r="J5" s="6" t="s">
        <v>9</v>
      </c>
      <c r="K5" s="6" t="s">
        <v>18</v>
      </c>
      <c r="L5" s="32" t="s">
        <v>42</v>
      </c>
      <c r="M5" s="6" t="s">
        <v>18</v>
      </c>
      <c r="N5" s="32" t="s">
        <v>42</v>
      </c>
      <c r="O5" s="32" t="s">
        <v>42</v>
      </c>
      <c r="P5" s="6" t="s">
        <v>5</v>
      </c>
      <c r="Q5" s="5" t="s">
        <v>171</v>
      </c>
      <c r="R5" s="30" t="s">
        <v>287</v>
      </c>
      <c r="S5" s="13"/>
      <c r="T5" s="13"/>
      <c r="U5" s="13"/>
      <c r="V5" s="13"/>
    </row>
    <row r="6" spans="1:22" s="5" customFormat="1" ht="12.6" thickBot="1">
      <c r="A6" s="37"/>
      <c r="B6" s="33"/>
      <c r="C6" s="33" t="s">
        <v>173</v>
      </c>
      <c r="D6" s="38"/>
      <c r="E6" s="33"/>
      <c r="F6" s="39"/>
      <c r="G6" s="39"/>
      <c r="H6" s="130"/>
      <c r="I6" s="55"/>
      <c r="J6" s="40"/>
      <c r="K6" s="40"/>
      <c r="L6" s="55"/>
      <c r="M6" s="40"/>
      <c r="N6" s="55"/>
      <c r="O6" s="55"/>
      <c r="P6" s="40"/>
      <c r="Q6" s="38"/>
      <c r="R6" s="386" t="s">
        <v>9</v>
      </c>
      <c r="S6" s="13"/>
      <c r="T6" s="13"/>
      <c r="U6" s="13"/>
      <c r="V6" s="13"/>
    </row>
    <row r="7" spans="1:22" s="446" customFormat="1">
      <c r="A7" s="446">
        <v>6</v>
      </c>
      <c r="B7" s="446">
        <v>6</v>
      </c>
      <c r="C7" s="446">
        <v>5275</v>
      </c>
      <c r="D7" s="446" t="s">
        <v>391</v>
      </c>
      <c r="E7" s="446" t="s">
        <v>487</v>
      </c>
      <c r="F7" s="447" t="s">
        <v>488</v>
      </c>
      <c r="G7" s="447" t="s">
        <v>489</v>
      </c>
      <c r="H7" s="390">
        <v>10000000</v>
      </c>
      <c r="I7" s="390">
        <v>10000000</v>
      </c>
      <c r="J7" s="448">
        <v>44205</v>
      </c>
      <c r="K7" s="448">
        <f>J7+35</f>
        <v>44240</v>
      </c>
      <c r="L7" s="390">
        <v>10000000</v>
      </c>
      <c r="M7" s="448">
        <f>J7+180</f>
        <v>44385</v>
      </c>
      <c r="N7" s="390">
        <v>10000000</v>
      </c>
      <c r="O7" s="390">
        <f>L7-N7</f>
        <v>0</v>
      </c>
      <c r="P7" s="448">
        <v>44365</v>
      </c>
      <c r="Q7" s="446" t="s">
        <v>209</v>
      </c>
      <c r="R7" s="548" t="s">
        <v>630</v>
      </c>
    </row>
    <row r="8" spans="1:22" s="512" customFormat="1">
      <c r="A8" s="512">
        <v>37</v>
      </c>
      <c r="B8" s="512">
        <v>8</v>
      </c>
      <c r="C8" s="512" t="s">
        <v>486</v>
      </c>
      <c r="D8" s="512" t="s">
        <v>43</v>
      </c>
      <c r="E8" s="512" t="s">
        <v>487</v>
      </c>
      <c r="F8" s="513" t="s">
        <v>490</v>
      </c>
      <c r="G8" s="513" t="s">
        <v>489</v>
      </c>
      <c r="H8" s="514">
        <v>0</v>
      </c>
      <c r="I8" s="514"/>
      <c r="J8" s="515"/>
      <c r="K8" s="515"/>
      <c r="L8" s="516"/>
      <c r="M8" s="515"/>
      <c r="N8" s="516"/>
      <c r="O8" s="517"/>
      <c r="P8" s="515"/>
      <c r="Q8" s="512" t="s">
        <v>241</v>
      </c>
    </row>
    <row r="9" spans="1:22">
      <c r="F9" s="36"/>
      <c r="G9" s="36"/>
      <c r="H9" s="27"/>
      <c r="I9" s="27"/>
      <c r="J9" s="11"/>
      <c r="K9" s="11"/>
      <c r="L9" s="45"/>
      <c r="M9" s="11"/>
      <c r="N9" s="45"/>
      <c r="O9" s="53"/>
      <c r="P9" s="11"/>
    </row>
    <row r="10" spans="1:22">
      <c r="A10" s="43"/>
      <c r="B10" s="43"/>
      <c r="C10" s="43"/>
      <c r="D10" s="43"/>
      <c r="E10" s="1"/>
      <c r="F10" s="13" t="s">
        <v>19</v>
      </c>
      <c r="H10" s="263">
        <f>SUM(H7:H9)</f>
        <v>10000000</v>
      </c>
      <c r="I10" s="263">
        <f>SUM(I7:I9)</f>
        <v>10000000</v>
      </c>
      <c r="J10" s="10"/>
      <c r="K10" s="10"/>
      <c r="L10" s="263">
        <f>SUM(L7:L9)</f>
        <v>10000000</v>
      </c>
      <c r="M10" s="10"/>
      <c r="N10" s="263">
        <f>SUM(N7:N9)</f>
        <v>10000000</v>
      </c>
      <c r="O10" s="263">
        <f>SUM(O7:O9)</f>
        <v>0</v>
      </c>
    </row>
    <row r="11" spans="1:22" s="1" customFormat="1">
      <c r="A11" s="5"/>
      <c r="B11" s="5"/>
      <c r="C11" s="5"/>
      <c r="D11" s="88"/>
      <c r="F11" s="13"/>
      <c r="H11" s="76"/>
      <c r="J11" s="11"/>
      <c r="K11" s="11"/>
      <c r="L11" s="9"/>
      <c r="M11" s="6"/>
      <c r="Q11" s="13"/>
    </row>
    <row r="12" spans="1:22" s="1" customFormat="1">
      <c r="A12" s="5"/>
      <c r="B12" s="5"/>
      <c r="C12" s="5"/>
      <c r="E12" s="5"/>
      <c r="F12" s="13" t="s">
        <v>43</v>
      </c>
      <c r="G12" s="5"/>
      <c r="H12" s="34">
        <f>SUM(H10-I10)</f>
        <v>0</v>
      </c>
      <c r="I12" s="9"/>
      <c r="L12" s="9"/>
      <c r="Q12" s="13"/>
    </row>
    <row r="13" spans="1:22" s="1" customFormat="1">
      <c r="A13" s="5"/>
      <c r="B13" s="5"/>
      <c r="C13" s="5"/>
      <c r="E13" s="5"/>
      <c r="G13" s="5"/>
      <c r="H13" s="67"/>
      <c r="I13" s="9"/>
      <c r="K13" s="138"/>
      <c r="L13" s="9"/>
      <c r="N13" s="76"/>
      <c r="Q13" s="13"/>
    </row>
    <row r="14" spans="1:22" s="1" customFormat="1">
      <c r="A14" s="5"/>
      <c r="B14" s="5"/>
      <c r="C14" s="5"/>
      <c r="E14" s="133"/>
      <c r="F14" s="58" t="s">
        <v>10</v>
      </c>
      <c r="G14" s="5"/>
      <c r="H14" s="77">
        <f>+E1-I10+O10+G16</f>
        <v>9712258</v>
      </c>
      <c r="I14" s="292"/>
      <c r="J14" s="138"/>
      <c r="L14" s="9"/>
      <c r="M14" s="138"/>
      <c r="Q14" s="13"/>
    </row>
    <row r="15" spans="1:22">
      <c r="A15" s="43"/>
      <c r="B15" s="43"/>
      <c r="C15" s="43"/>
      <c r="D15" s="1"/>
      <c r="E15" s="1"/>
      <c r="F15" s="1"/>
      <c r="G15" s="1"/>
      <c r="H15" s="76"/>
    </row>
    <row r="16" spans="1:22">
      <c r="G16" s="299"/>
      <c r="H16" s="65"/>
    </row>
    <row r="17" spans="8:8">
      <c r="H17" s="65"/>
    </row>
    <row r="18" spans="8:8">
      <c r="H18" s="65"/>
    </row>
  </sheetData>
  <phoneticPr fontId="3" type="noConversion"/>
  <pageMargins left="0.75" right="0.75" top="1" bottom="1" header="0.5" footer="0.5"/>
  <pageSetup scale="5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1">
    <tabColor theme="0" tint="-0.499984740745262"/>
  </sheetPr>
  <dimension ref="A1:V47"/>
  <sheetViews>
    <sheetView zoomScaleNormal="100" workbookViewId="0">
      <selection activeCell="H29" sqref="H29"/>
    </sheetView>
  </sheetViews>
  <sheetFormatPr defaultColWidth="10.875" defaultRowHeight="12"/>
  <cols>
    <col min="1" max="1" width="9.625" style="13" customWidth="1"/>
    <col min="2" max="2" width="7.125" style="13" bestFit="1" customWidth="1"/>
    <col min="3" max="3" width="10.125" style="13" bestFit="1" customWidth="1"/>
    <col min="4" max="4" width="13.25" style="13" bestFit="1" customWidth="1"/>
    <col min="5" max="5" width="25" style="13" customWidth="1"/>
    <col min="6" max="6" width="26.75" style="13" bestFit="1" customWidth="1"/>
    <col min="7" max="7" width="12.375" style="13" customWidth="1"/>
    <col min="8" max="8" width="14.375" style="12" customWidth="1"/>
    <col min="9" max="9" width="12.75" style="35" bestFit="1" customWidth="1"/>
    <col min="10" max="10" width="15.25" style="13" bestFit="1" customWidth="1"/>
    <col min="11" max="11" width="10.875" style="13" bestFit="1" customWidth="1"/>
    <col min="12" max="12" width="14.25" style="34" customWidth="1"/>
    <col min="13" max="13" width="10.875" style="13" bestFit="1" customWidth="1"/>
    <col min="14" max="14" width="15.25" style="57" customWidth="1"/>
    <col min="15" max="15" width="14.75" style="12" bestFit="1" customWidth="1"/>
    <col min="16" max="16" width="10.625" style="13" bestFit="1" customWidth="1"/>
    <col min="17" max="17" width="10.25" style="13" bestFit="1" customWidth="1"/>
    <col min="18" max="18" width="43.75" style="13" bestFit="1" customWidth="1"/>
    <col min="19" max="19" width="28.375" style="13" bestFit="1" customWidth="1"/>
    <col min="20" max="16384" width="10.875" style="13"/>
  </cols>
  <sheetData>
    <row r="1" spans="1:22" s="17" customFormat="1" ht="11.4">
      <c r="A1" s="16" t="s">
        <v>12</v>
      </c>
      <c r="B1" s="291"/>
      <c r="C1" s="291"/>
      <c r="E1" s="382">
        <f>ROUND(Totals!$H$8*Totals!$P$13, 0)</f>
        <v>187137950</v>
      </c>
      <c r="F1" s="18"/>
      <c r="G1" s="18"/>
      <c r="H1" s="332"/>
      <c r="I1" s="333"/>
      <c r="J1" s="284"/>
      <c r="K1" s="284"/>
      <c r="L1" s="333"/>
      <c r="M1" s="284"/>
      <c r="N1" s="332"/>
      <c r="O1" s="332"/>
      <c r="P1" s="284"/>
      <c r="R1" s="285"/>
      <c r="S1" s="5"/>
      <c r="T1" s="5"/>
      <c r="U1" s="5"/>
      <c r="V1" s="5"/>
    </row>
    <row r="2" spans="1:22" s="5" customFormat="1" ht="11.4">
      <c r="A2" s="25" t="s">
        <v>39</v>
      </c>
      <c r="B2" s="48"/>
      <c r="C2" s="48"/>
      <c r="E2" s="26"/>
      <c r="F2" s="26"/>
      <c r="G2" s="26"/>
      <c r="H2" s="46"/>
      <c r="I2" s="47"/>
      <c r="J2" s="6"/>
      <c r="K2" s="6"/>
      <c r="L2" s="47"/>
      <c r="M2" s="6"/>
      <c r="N2" s="46"/>
      <c r="O2" s="46"/>
      <c r="P2" s="6"/>
      <c r="R2" s="286"/>
    </row>
    <row r="3" spans="1:22">
      <c r="A3" s="137"/>
      <c r="H3" s="44"/>
      <c r="I3" s="45"/>
      <c r="J3" s="11"/>
      <c r="K3" s="11"/>
      <c r="L3" s="27"/>
      <c r="M3" s="11"/>
      <c r="N3" s="53"/>
      <c r="O3" s="44"/>
      <c r="P3" s="11"/>
      <c r="Q3" s="1"/>
      <c r="R3" s="287"/>
      <c r="S3" s="5"/>
      <c r="T3" s="5"/>
      <c r="U3" s="5"/>
      <c r="V3" s="5"/>
    </row>
    <row r="4" spans="1:22" s="5" customFormat="1">
      <c r="A4" s="31" t="s">
        <v>206</v>
      </c>
      <c r="B4" s="5" t="s">
        <v>208</v>
      </c>
      <c r="C4" s="5" t="s">
        <v>32</v>
      </c>
      <c r="D4" s="5" t="s">
        <v>37</v>
      </c>
      <c r="E4" s="5" t="s">
        <v>31</v>
      </c>
      <c r="F4" s="26" t="s">
        <v>49</v>
      </c>
      <c r="G4" s="26" t="s">
        <v>45</v>
      </c>
      <c r="H4" s="84" t="s">
        <v>23</v>
      </c>
      <c r="I4" s="32" t="s">
        <v>8</v>
      </c>
      <c r="J4" s="6" t="s">
        <v>14</v>
      </c>
      <c r="K4" s="6" t="s">
        <v>34</v>
      </c>
      <c r="L4" s="32" t="s">
        <v>4</v>
      </c>
      <c r="M4" s="6" t="s">
        <v>157</v>
      </c>
      <c r="N4" s="32" t="s">
        <v>27</v>
      </c>
      <c r="O4" s="32" t="s">
        <v>44</v>
      </c>
      <c r="P4" s="6" t="s">
        <v>22</v>
      </c>
      <c r="Q4" s="5" t="s">
        <v>172</v>
      </c>
      <c r="R4" s="30" t="s">
        <v>286</v>
      </c>
      <c r="S4" s="13"/>
      <c r="T4" s="13"/>
      <c r="U4" s="13"/>
      <c r="V4" s="13"/>
    </row>
    <row r="5" spans="1:22" s="5" customFormat="1">
      <c r="A5" s="31" t="s">
        <v>207</v>
      </c>
      <c r="B5" s="5" t="s">
        <v>207</v>
      </c>
      <c r="C5" s="5" t="s">
        <v>48</v>
      </c>
      <c r="D5" s="13"/>
      <c r="F5" s="26"/>
      <c r="G5" s="26"/>
      <c r="H5" s="84" t="s">
        <v>42</v>
      </c>
      <c r="I5" s="32" t="s">
        <v>42</v>
      </c>
      <c r="J5" s="6" t="s">
        <v>9</v>
      </c>
      <c r="K5" s="6" t="s">
        <v>18</v>
      </c>
      <c r="L5" s="32" t="s">
        <v>42</v>
      </c>
      <c r="M5" s="6" t="s">
        <v>18</v>
      </c>
      <c r="N5" s="32" t="s">
        <v>42</v>
      </c>
      <c r="O5" s="32" t="s">
        <v>42</v>
      </c>
      <c r="P5" s="6" t="s">
        <v>5</v>
      </c>
      <c r="Q5" s="5" t="s">
        <v>171</v>
      </c>
      <c r="R5" s="30" t="s">
        <v>287</v>
      </c>
      <c r="S5" s="13"/>
      <c r="T5" s="13"/>
      <c r="U5" s="13"/>
      <c r="V5" s="13"/>
    </row>
    <row r="6" spans="1:22" s="5" customFormat="1" ht="12.6" thickBot="1">
      <c r="A6" s="37"/>
      <c r="B6" s="33"/>
      <c r="C6" s="33" t="s">
        <v>173</v>
      </c>
      <c r="D6" s="38"/>
      <c r="E6" s="33"/>
      <c r="F6" s="39"/>
      <c r="G6" s="39"/>
      <c r="H6" s="130"/>
      <c r="I6" s="55"/>
      <c r="J6" s="40"/>
      <c r="K6" s="40"/>
      <c r="L6" s="55"/>
      <c r="M6" s="40"/>
      <c r="N6" s="55"/>
      <c r="O6" s="55"/>
      <c r="P6" s="40"/>
      <c r="Q6" s="38"/>
      <c r="R6" s="386" t="s">
        <v>9</v>
      </c>
      <c r="S6" s="13"/>
      <c r="T6" s="13"/>
      <c r="U6" s="13"/>
      <c r="V6" s="13"/>
    </row>
    <row r="7" spans="1:22">
      <c r="A7" s="13">
        <v>1</v>
      </c>
      <c r="B7" s="13">
        <v>1</v>
      </c>
      <c r="C7" s="13">
        <v>5273</v>
      </c>
      <c r="D7" s="13" t="s">
        <v>391</v>
      </c>
      <c r="E7" s="13" t="s">
        <v>218</v>
      </c>
      <c r="F7" s="36" t="s">
        <v>491</v>
      </c>
      <c r="G7" s="36" t="s">
        <v>80</v>
      </c>
      <c r="H7" s="289">
        <v>6500000</v>
      </c>
      <c r="I7" s="289">
        <f>H7</f>
        <v>6500000</v>
      </c>
      <c r="J7" s="11">
        <v>44203</v>
      </c>
      <c r="K7" s="11">
        <f t="shared" ref="K7:K12" si="0">J7+35</f>
        <v>44238</v>
      </c>
      <c r="L7" s="289">
        <v>6500000</v>
      </c>
      <c r="M7" s="11">
        <f>J7+180</f>
        <v>44383</v>
      </c>
      <c r="N7" s="289">
        <v>6500000</v>
      </c>
      <c r="O7" s="289">
        <f>L7-N7</f>
        <v>0</v>
      </c>
      <c r="P7" s="11">
        <v>44286</v>
      </c>
      <c r="Q7" s="13">
        <v>0</v>
      </c>
      <c r="R7" s="445" t="s">
        <v>627</v>
      </c>
      <c r="S7" s="472"/>
    </row>
    <row r="8" spans="1:22" s="5" customFormat="1" ht="11.4">
      <c r="A8" s="5">
        <v>5</v>
      </c>
      <c r="B8" s="5">
        <v>5</v>
      </c>
      <c r="C8" s="5">
        <v>5283</v>
      </c>
      <c r="D8" s="5" t="s">
        <v>625</v>
      </c>
      <c r="E8" s="5" t="s">
        <v>268</v>
      </c>
      <c r="F8" s="26" t="s">
        <v>335</v>
      </c>
      <c r="G8" s="26" t="s">
        <v>336</v>
      </c>
      <c r="H8" s="349">
        <v>22500000</v>
      </c>
      <c r="I8" s="349">
        <f>H8</f>
        <v>22500000</v>
      </c>
      <c r="J8" s="6">
        <v>44208</v>
      </c>
      <c r="K8" s="6">
        <f t="shared" si="0"/>
        <v>44243</v>
      </c>
      <c r="L8" s="349">
        <v>22500000</v>
      </c>
      <c r="M8" s="6">
        <f t="shared" ref="M8:M12" si="1">J8+180</f>
        <v>44388</v>
      </c>
      <c r="N8" s="349"/>
      <c r="O8" s="349"/>
      <c r="P8" s="6"/>
      <c r="Q8" s="5" t="s">
        <v>209</v>
      </c>
      <c r="R8" s="489" t="s">
        <v>631</v>
      </c>
    </row>
    <row r="9" spans="1:22" s="5" customFormat="1" ht="11.4">
      <c r="A9" s="5">
        <v>8</v>
      </c>
      <c r="B9" s="5">
        <v>11</v>
      </c>
      <c r="C9" s="5">
        <v>5292</v>
      </c>
      <c r="D9" s="5" t="s">
        <v>625</v>
      </c>
      <c r="E9" s="5" t="s">
        <v>218</v>
      </c>
      <c r="F9" s="26" t="s">
        <v>492</v>
      </c>
      <c r="G9" s="26" t="s">
        <v>80</v>
      </c>
      <c r="H9" s="349">
        <v>28000000</v>
      </c>
      <c r="I9" s="349">
        <f>H9</f>
        <v>28000000</v>
      </c>
      <c r="J9" s="6">
        <v>44209</v>
      </c>
      <c r="K9" s="6">
        <f t="shared" si="0"/>
        <v>44244</v>
      </c>
      <c r="L9" s="349">
        <v>28000000</v>
      </c>
      <c r="M9" s="6">
        <f t="shared" si="1"/>
        <v>44389</v>
      </c>
      <c r="N9" s="349"/>
      <c r="O9" s="349"/>
      <c r="P9" s="6"/>
      <c r="Q9" s="5" t="s">
        <v>209</v>
      </c>
      <c r="R9" s="489" t="s">
        <v>637</v>
      </c>
    </row>
    <row r="10" spans="1:22">
      <c r="A10" s="13">
        <v>17</v>
      </c>
      <c r="B10" s="13">
        <v>32</v>
      </c>
      <c r="C10" s="13">
        <v>5299</v>
      </c>
      <c r="D10" s="13" t="s">
        <v>390</v>
      </c>
      <c r="E10" s="13" t="s">
        <v>269</v>
      </c>
      <c r="F10" s="36" t="s">
        <v>493</v>
      </c>
      <c r="G10" s="36" t="s">
        <v>494</v>
      </c>
      <c r="H10" s="289">
        <v>50000000</v>
      </c>
      <c r="I10" s="289">
        <f>H10</f>
        <v>50000000</v>
      </c>
      <c r="J10" s="11">
        <v>44210</v>
      </c>
      <c r="K10" s="11">
        <f t="shared" si="0"/>
        <v>44245</v>
      </c>
      <c r="L10" s="289">
        <v>50000000</v>
      </c>
      <c r="M10" s="11">
        <f t="shared" si="1"/>
        <v>44390</v>
      </c>
      <c r="N10" s="289">
        <v>0</v>
      </c>
      <c r="O10" s="289">
        <f>L10-N10</f>
        <v>50000000</v>
      </c>
      <c r="P10" s="11">
        <v>44359</v>
      </c>
      <c r="Q10" s="13" t="s">
        <v>216</v>
      </c>
      <c r="R10" s="445" t="s">
        <v>639</v>
      </c>
    </row>
    <row r="11" spans="1:22" s="5" customFormat="1" ht="11.4">
      <c r="A11" s="5">
        <v>20</v>
      </c>
      <c r="B11" s="5">
        <v>37</v>
      </c>
      <c r="C11" s="5">
        <v>5307</v>
      </c>
      <c r="D11" s="5" t="s">
        <v>625</v>
      </c>
      <c r="E11" s="5" t="s">
        <v>268</v>
      </c>
      <c r="F11" s="26" t="s">
        <v>495</v>
      </c>
      <c r="G11" s="26" t="s">
        <v>336</v>
      </c>
      <c r="H11" s="349">
        <v>20000000</v>
      </c>
      <c r="I11" s="349">
        <v>20000000</v>
      </c>
      <c r="J11" s="6">
        <v>44211</v>
      </c>
      <c r="K11" s="6">
        <f t="shared" si="0"/>
        <v>44246</v>
      </c>
      <c r="L11" s="349">
        <v>20000000</v>
      </c>
      <c r="M11" s="6">
        <f t="shared" si="1"/>
        <v>44391</v>
      </c>
      <c r="N11" s="349"/>
      <c r="O11" s="349"/>
      <c r="P11" s="6"/>
      <c r="Q11" s="5" t="s">
        <v>216</v>
      </c>
      <c r="R11" s="489" t="s">
        <v>641</v>
      </c>
      <c r="S11" s="381"/>
    </row>
    <row r="12" spans="1:22">
      <c r="A12" s="13">
        <v>21</v>
      </c>
      <c r="B12" s="13">
        <v>39</v>
      </c>
      <c r="C12" s="13">
        <v>5308</v>
      </c>
      <c r="D12" s="13" t="s">
        <v>390</v>
      </c>
      <c r="E12" s="13" t="s">
        <v>269</v>
      </c>
      <c r="F12" s="36" t="s">
        <v>496</v>
      </c>
      <c r="G12" s="36" t="s">
        <v>497</v>
      </c>
      <c r="H12" s="289">
        <v>50000000</v>
      </c>
      <c r="I12" s="289">
        <v>50000000</v>
      </c>
      <c r="J12" s="11">
        <v>44211</v>
      </c>
      <c r="K12" s="11">
        <f t="shared" si="0"/>
        <v>44246</v>
      </c>
      <c r="L12" s="289">
        <v>45000000</v>
      </c>
      <c r="M12" s="11">
        <f t="shared" si="1"/>
        <v>44391</v>
      </c>
      <c r="N12" s="289">
        <v>0</v>
      </c>
      <c r="O12" s="289">
        <f>I12-N12</f>
        <v>50000000</v>
      </c>
      <c r="P12" s="11">
        <v>44359</v>
      </c>
      <c r="Q12" s="13" t="s">
        <v>216</v>
      </c>
      <c r="R12" s="445" t="s">
        <v>641</v>
      </c>
      <c r="S12" s="472"/>
    </row>
    <row r="13" spans="1:22">
      <c r="A13" s="13">
        <v>40</v>
      </c>
      <c r="B13" s="13">
        <v>61</v>
      </c>
      <c r="C13" s="13" t="s">
        <v>498</v>
      </c>
      <c r="D13" s="13" t="s">
        <v>390</v>
      </c>
      <c r="E13" s="13" t="s">
        <v>268</v>
      </c>
      <c r="F13" s="36" t="s">
        <v>339</v>
      </c>
      <c r="G13" s="36" t="s">
        <v>336</v>
      </c>
      <c r="H13" s="289">
        <v>0</v>
      </c>
      <c r="I13" s="289"/>
      <c r="J13" s="11"/>
      <c r="K13" s="11"/>
      <c r="L13" s="289"/>
      <c r="M13" s="11"/>
      <c r="N13" s="289"/>
      <c r="O13" s="289"/>
      <c r="P13" s="11"/>
      <c r="Q13" s="13" t="s">
        <v>264</v>
      </c>
      <c r="R13" s="43"/>
    </row>
    <row r="14" spans="1:22" s="5" customFormat="1" ht="11.4">
      <c r="A14" s="5">
        <v>43</v>
      </c>
      <c r="B14" s="5">
        <v>65</v>
      </c>
      <c r="C14" s="5">
        <v>5322</v>
      </c>
      <c r="D14" s="5" t="s">
        <v>625</v>
      </c>
      <c r="E14" s="5" t="s">
        <v>269</v>
      </c>
      <c r="F14" s="26" t="s">
        <v>337</v>
      </c>
      <c r="G14" s="26" t="s">
        <v>338</v>
      </c>
      <c r="H14" s="349">
        <v>35000000</v>
      </c>
      <c r="I14" s="349">
        <f>H14</f>
        <v>35000000</v>
      </c>
      <c r="J14" s="6">
        <v>44247</v>
      </c>
      <c r="K14" s="6">
        <f>J14+35</f>
        <v>44282</v>
      </c>
      <c r="L14" s="349">
        <v>35000000</v>
      </c>
      <c r="M14" s="6">
        <f>J14+180</f>
        <v>44427</v>
      </c>
      <c r="N14" s="349"/>
      <c r="O14" s="349"/>
      <c r="P14" s="6"/>
      <c r="Q14" s="5" t="s">
        <v>264</v>
      </c>
      <c r="R14" s="509" t="s">
        <v>672</v>
      </c>
      <c r="S14" s="381" t="s">
        <v>670</v>
      </c>
    </row>
    <row r="15" spans="1:22" s="90" customFormat="1" ht="11.4">
      <c r="A15" s="90">
        <v>51</v>
      </c>
      <c r="B15" s="90">
        <v>74</v>
      </c>
      <c r="C15" s="90">
        <v>5323</v>
      </c>
      <c r="D15" s="90" t="s">
        <v>625</v>
      </c>
      <c r="E15" s="90" t="s">
        <v>269</v>
      </c>
      <c r="F15" s="89" t="s">
        <v>504</v>
      </c>
      <c r="G15" s="89" t="s">
        <v>505</v>
      </c>
      <c r="H15" s="481">
        <v>50000000</v>
      </c>
      <c r="I15" s="481">
        <f>H15</f>
        <v>50000000</v>
      </c>
      <c r="J15" s="92">
        <v>44247</v>
      </c>
      <c r="K15" s="92">
        <f>J15+35</f>
        <v>44282</v>
      </c>
      <c r="L15" s="481">
        <v>50000000</v>
      </c>
      <c r="M15" s="92">
        <f>J15+180</f>
        <v>44427</v>
      </c>
      <c r="N15" s="481"/>
      <c r="O15" s="481"/>
      <c r="P15" s="92"/>
      <c r="Q15" s="90" t="s">
        <v>264</v>
      </c>
      <c r="R15" s="510" t="s">
        <v>672</v>
      </c>
      <c r="S15" s="493" t="s">
        <v>671</v>
      </c>
    </row>
    <row r="16" spans="1:22" s="512" customFormat="1">
      <c r="A16" s="512">
        <v>53</v>
      </c>
      <c r="B16" s="512">
        <v>76</v>
      </c>
      <c r="C16" s="512" t="s">
        <v>499</v>
      </c>
      <c r="D16" s="512" t="s">
        <v>43</v>
      </c>
      <c r="E16" s="512" t="s">
        <v>268</v>
      </c>
      <c r="F16" s="513" t="s">
        <v>418</v>
      </c>
      <c r="G16" s="513" t="s">
        <v>419</v>
      </c>
      <c r="H16" s="514">
        <v>0</v>
      </c>
      <c r="I16" s="514"/>
      <c r="J16" s="515"/>
      <c r="K16" s="515"/>
      <c r="L16" s="516"/>
      <c r="M16" s="515"/>
      <c r="N16" s="514"/>
      <c r="O16" s="514"/>
      <c r="P16" s="515"/>
      <c r="Q16" s="512" t="s">
        <v>264</v>
      </c>
      <c r="R16" s="522"/>
    </row>
    <row r="17" spans="1:19" s="512" customFormat="1">
      <c r="A17" s="512">
        <v>69</v>
      </c>
      <c r="B17" s="512">
        <v>91</v>
      </c>
      <c r="C17" s="512" t="s">
        <v>500</v>
      </c>
      <c r="D17" s="512" t="s">
        <v>43</v>
      </c>
      <c r="E17" s="512" t="s">
        <v>269</v>
      </c>
      <c r="F17" s="513" t="s">
        <v>506</v>
      </c>
      <c r="G17" s="513" t="s">
        <v>80</v>
      </c>
      <c r="H17" s="514">
        <v>0</v>
      </c>
      <c r="I17" s="514"/>
      <c r="J17" s="515"/>
      <c r="K17" s="515"/>
      <c r="L17" s="514"/>
      <c r="M17" s="515"/>
      <c r="N17" s="514"/>
      <c r="O17" s="514"/>
      <c r="P17" s="515"/>
      <c r="Q17" s="512" t="s">
        <v>264</v>
      </c>
      <c r="R17" s="522"/>
    </row>
    <row r="18" spans="1:19" s="512" customFormat="1">
      <c r="A18" s="512">
        <v>77</v>
      </c>
      <c r="B18" s="512">
        <v>97</v>
      </c>
      <c r="C18" s="512" t="s">
        <v>501</v>
      </c>
      <c r="D18" s="512" t="s">
        <v>43</v>
      </c>
      <c r="E18" s="512" t="s">
        <v>268</v>
      </c>
      <c r="F18" s="513" t="s">
        <v>424</v>
      </c>
      <c r="G18" s="513" t="s">
        <v>388</v>
      </c>
      <c r="H18" s="514">
        <v>0</v>
      </c>
      <c r="I18" s="514"/>
      <c r="J18" s="515"/>
      <c r="K18" s="515"/>
      <c r="L18" s="514"/>
      <c r="M18" s="515"/>
      <c r="N18" s="514"/>
      <c r="O18" s="514"/>
      <c r="P18" s="515"/>
      <c r="Q18" s="512" t="s">
        <v>264</v>
      </c>
      <c r="R18" s="522"/>
      <c r="S18" s="523"/>
    </row>
    <row r="19" spans="1:19" s="512" customFormat="1">
      <c r="A19" s="512">
        <v>78</v>
      </c>
      <c r="B19" s="512">
        <v>98</v>
      </c>
      <c r="C19" s="512" t="s">
        <v>502</v>
      </c>
      <c r="D19" s="512" t="s">
        <v>43</v>
      </c>
      <c r="E19" s="512" t="s">
        <v>269</v>
      </c>
      <c r="F19" s="513" t="s">
        <v>507</v>
      </c>
      <c r="G19" s="513" t="s">
        <v>80</v>
      </c>
      <c r="H19" s="514">
        <v>0</v>
      </c>
      <c r="I19" s="514"/>
      <c r="J19" s="515"/>
      <c r="K19" s="515"/>
      <c r="L19" s="516"/>
      <c r="M19" s="515"/>
      <c r="N19" s="514"/>
      <c r="O19" s="514"/>
      <c r="P19" s="515"/>
      <c r="Q19" s="512" t="s">
        <v>264</v>
      </c>
      <c r="R19" s="522"/>
    </row>
    <row r="20" spans="1:19" s="512" customFormat="1">
      <c r="A20" s="512">
        <v>80</v>
      </c>
      <c r="B20" s="512">
        <v>100</v>
      </c>
      <c r="C20" s="512" t="s">
        <v>503</v>
      </c>
      <c r="D20" s="512" t="s">
        <v>43</v>
      </c>
      <c r="E20" s="512" t="s">
        <v>218</v>
      </c>
      <c r="F20" s="513" t="s">
        <v>508</v>
      </c>
      <c r="G20" s="513" t="s">
        <v>80</v>
      </c>
      <c r="H20" s="514">
        <v>0</v>
      </c>
      <c r="I20" s="514"/>
      <c r="J20" s="515"/>
      <c r="K20" s="515"/>
      <c r="L20" s="514"/>
      <c r="M20" s="515"/>
      <c r="N20" s="514"/>
      <c r="O20" s="514"/>
      <c r="P20" s="515"/>
      <c r="Q20" s="512" t="s">
        <v>264</v>
      </c>
      <c r="R20" s="522"/>
    </row>
    <row r="21" spans="1:19" s="512" customFormat="1">
      <c r="A21" s="512">
        <v>83</v>
      </c>
      <c r="B21" s="512">
        <v>104</v>
      </c>
      <c r="C21" s="512" t="s">
        <v>509</v>
      </c>
      <c r="D21" s="512" t="s">
        <v>43</v>
      </c>
      <c r="E21" s="512" t="s">
        <v>218</v>
      </c>
      <c r="F21" s="513" t="s">
        <v>512</v>
      </c>
      <c r="G21" s="513" t="s">
        <v>80</v>
      </c>
      <c r="H21" s="514">
        <v>0</v>
      </c>
      <c r="I21" s="514"/>
      <c r="J21" s="515"/>
      <c r="K21" s="515"/>
      <c r="L21" s="516"/>
      <c r="M21" s="515"/>
      <c r="N21" s="514"/>
      <c r="O21" s="514"/>
      <c r="P21" s="515"/>
      <c r="Q21" s="512" t="s">
        <v>272</v>
      </c>
    </row>
    <row r="22" spans="1:19" s="512" customFormat="1">
      <c r="A22" s="512">
        <v>100</v>
      </c>
      <c r="B22" s="512">
        <v>110</v>
      </c>
      <c r="C22" s="512" t="s">
        <v>510</v>
      </c>
      <c r="D22" s="512" t="s">
        <v>43</v>
      </c>
      <c r="E22" s="512" t="s">
        <v>269</v>
      </c>
      <c r="F22" s="513" t="s">
        <v>513</v>
      </c>
      <c r="G22" s="513" t="s">
        <v>80</v>
      </c>
      <c r="H22" s="514">
        <v>0</v>
      </c>
      <c r="I22" s="514"/>
      <c r="J22" s="515"/>
      <c r="K22" s="515"/>
      <c r="L22" s="516"/>
      <c r="M22" s="515"/>
      <c r="N22" s="514"/>
      <c r="O22" s="514"/>
      <c r="P22" s="515"/>
      <c r="Q22" s="512" t="s">
        <v>272</v>
      </c>
    </row>
    <row r="23" spans="1:19" s="512" customFormat="1">
      <c r="A23" s="512">
        <v>105</v>
      </c>
      <c r="B23" s="512">
        <v>112</v>
      </c>
      <c r="C23" s="512" t="s">
        <v>511</v>
      </c>
      <c r="D23" s="512" t="s">
        <v>43</v>
      </c>
      <c r="E23" s="512" t="s">
        <v>269</v>
      </c>
      <c r="F23" s="513" t="s">
        <v>514</v>
      </c>
      <c r="G23" s="513" t="s">
        <v>80</v>
      </c>
      <c r="H23" s="514">
        <v>0</v>
      </c>
      <c r="I23" s="514"/>
      <c r="J23" s="515"/>
      <c r="K23" s="515"/>
      <c r="L23" s="516"/>
      <c r="M23" s="515"/>
      <c r="N23" s="514"/>
      <c r="O23" s="514"/>
      <c r="P23" s="515"/>
      <c r="Q23" s="512" t="s">
        <v>272</v>
      </c>
    </row>
    <row r="24" spans="1:19">
      <c r="F24" s="36"/>
      <c r="G24" s="36"/>
      <c r="H24" s="59"/>
      <c r="I24" s="59"/>
      <c r="J24" s="11"/>
      <c r="K24" s="11"/>
      <c r="L24" s="45"/>
      <c r="M24" s="11"/>
      <c r="N24" s="27"/>
      <c r="O24" s="27"/>
      <c r="P24" s="11"/>
    </row>
    <row r="25" spans="1:19">
      <c r="A25" s="43"/>
      <c r="B25" s="43"/>
      <c r="C25" s="43"/>
      <c r="D25" s="43"/>
      <c r="E25" s="1"/>
      <c r="F25" s="13" t="s">
        <v>19</v>
      </c>
      <c r="H25" s="263">
        <f>SUM(H7:H24)</f>
        <v>262000000</v>
      </c>
      <c r="I25" s="263">
        <f>SUM(I7:I24)</f>
        <v>262000000</v>
      </c>
      <c r="J25" s="10"/>
      <c r="K25" s="10"/>
      <c r="L25" s="263">
        <f>SUM(L7:L24)</f>
        <v>257000000</v>
      </c>
      <c r="M25" s="10"/>
      <c r="N25" s="263">
        <f>SUM(N7:N24)</f>
        <v>6500000</v>
      </c>
      <c r="O25" s="263">
        <f>SUM(O7:O24)</f>
        <v>100000000</v>
      </c>
    </row>
    <row r="26" spans="1:19" s="1" customFormat="1">
      <c r="A26" s="5"/>
      <c r="B26" s="5"/>
      <c r="C26" s="5"/>
      <c r="D26" s="88"/>
      <c r="F26" s="13"/>
      <c r="H26" s="76"/>
      <c r="J26" s="11"/>
      <c r="K26" s="11"/>
      <c r="L26" s="9"/>
      <c r="M26" s="6"/>
      <c r="Q26" s="13"/>
    </row>
    <row r="27" spans="1:19" s="1" customFormat="1">
      <c r="A27" s="5"/>
      <c r="B27" s="5"/>
      <c r="C27" s="5"/>
      <c r="E27" s="5"/>
      <c r="F27" s="13" t="s">
        <v>43</v>
      </c>
      <c r="G27" s="5"/>
      <c r="H27" s="34">
        <f>H25-I25</f>
        <v>0</v>
      </c>
      <c r="I27" s="9"/>
      <c r="L27" s="9"/>
      <c r="Q27" s="13"/>
    </row>
    <row r="28" spans="1:19" s="1" customFormat="1">
      <c r="A28" s="5"/>
      <c r="B28" s="5"/>
      <c r="C28" s="5"/>
      <c r="E28" s="5"/>
      <c r="G28" s="5"/>
      <c r="H28" s="67"/>
      <c r="I28" s="9"/>
      <c r="K28" s="93"/>
      <c r="L28" s="9"/>
      <c r="N28" s="76"/>
      <c r="Q28" s="13"/>
    </row>
    <row r="29" spans="1:19" s="1" customFormat="1">
      <c r="A29" s="5"/>
      <c r="B29" s="5"/>
      <c r="C29" s="5"/>
      <c r="E29" s="133"/>
      <c r="F29" s="58" t="s">
        <v>75</v>
      </c>
      <c r="G29" s="5"/>
      <c r="H29" s="77">
        <f>+E1-I25+O25+G34</f>
        <v>110137950</v>
      </c>
      <c r="I29" s="292"/>
      <c r="J29" s="138"/>
      <c r="K29" s="93"/>
      <c r="L29" s="83"/>
      <c r="M29" s="138"/>
      <c r="Q29" s="13"/>
    </row>
    <row r="30" spans="1:19">
      <c r="H30" s="60"/>
      <c r="I30" s="60"/>
      <c r="J30" s="10"/>
      <c r="K30" s="93"/>
      <c r="L30" s="35"/>
    </row>
    <row r="31" spans="1:19">
      <c r="A31" s="5"/>
      <c r="B31" s="5"/>
      <c r="C31" s="5"/>
      <c r="K31" s="11"/>
    </row>
    <row r="32" spans="1:19">
      <c r="A32" s="5"/>
      <c r="B32" s="5"/>
      <c r="C32" s="13">
        <v>5240</v>
      </c>
      <c r="D32" s="13" t="s">
        <v>77</v>
      </c>
      <c r="E32" s="13" t="s">
        <v>269</v>
      </c>
      <c r="F32" s="36" t="s">
        <v>94</v>
      </c>
      <c r="G32" s="289">
        <v>35000000</v>
      </c>
      <c r="H32" s="288" t="s">
        <v>668</v>
      </c>
    </row>
    <row r="33" spans="1:10">
      <c r="A33" s="5"/>
      <c r="B33" s="5"/>
      <c r="C33" s="13">
        <v>5235</v>
      </c>
      <c r="D33" s="13" t="s">
        <v>77</v>
      </c>
      <c r="E33" s="13" t="s">
        <v>269</v>
      </c>
      <c r="F33" s="13" t="s">
        <v>94</v>
      </c>
      <c r="G33" s="390">
        <v>50000000</v>
      </c>
      <c r="H33" s="441" t="s">
        <v>669</v>
      </c>
    </row>
    <row r="34" spans="1:10">
      <c r="A34" s="5"/>
      <c r="B34" s="5"/>
      <c r="C34" s="5"/>
      <c r="G34" s="443">
        <f>SUM(G32:G33)</f>
        <v>85000000</v>
      </c>
    </row>
    <row r="36" spans="1:10">
      <c r="G36" s="10"/>
    </row>
    <row r="37" spans="1:10">
      <c r="G37" s="289"/>
      <c r="H37" s="444"/>
      <c r="J37" s="13" t="s">
        <v>7</v>
      </c>
    </row>
    <row r="38" spans="1:10">
      <c r="G38" s="289"/>
      <c r="H38" s="441"/>
    </row>
    <row r="39" spans="1:10">
      <c r="C39" s="43"/>
      <c r="D39" s="43"/>
      <c r="E39" s="148"/>
    </row>
    <row r="42" spans="1:10">
      <c r="A42" s="43"/>
      <c r="B42" s="43"/>
      <c r="C42" s="43"/>
      <c r="D42" s="43"/>
      <c r="E42" s="43"/>
      <c r="F42" s="43"/>
      <c r="G42" s="43"/>
      <c r="H42" s="43"/>
    </row>
    <row r="45" spans="1:10">
      <c r="A45" s="43"/>
      <c r="B45" s="43"/>
      <c r="C45" s="43"/>
      <c r="D45" s="43"/>
      <c r="E45" s="43"/>
      <c r="F45" s="43"/>
      <c r="G45" s="43"/>
      <c r="H45" s="43"/>
    </row>
    <row r="47" spans="1:10">
      <c r="A47" s="43"/>
      <c r="B47" s="43"/>
      <c r="C47" s="43"/>
      <c r="D47" s="43"/>
      <c r="E47" s="43"/>
      <c r="F47" s="43"/>
      <c r="G47" s="43"/>
      <c r="H47" s="43"/>
    </row>
  </sheetData>
  <phoneticPr fontId="0" type="noConversion"/>
  <pageMargins left="0.75" right="0.75" top="1" bottom="1" header="0.5" footer="0.5"/>
  <pageSetup scale="74" fitToHeight="2" orientation="landscape" horizontalDpi="4294967292" verticalDpi="4294967292" r:id="rId1"/>
  <headerFooter alignWithMargins="0"/>
  <colBreaks count="1" manualBreakCount="1">
    <brk id="16" max="104857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2">
    <tabColor theme="0" tint="-0.499984740745262"/>
  </sheetPr>
  <dimension ref="A1:V43"/>
  <sheetViews>
    <sheetView zoomScaleNormal="100" workbookViewId="0">
      <selection activeCell="H30" sqref="H30"/>
    </sheetView>
  </sheetViews>
  <sheetFormatPr defaultColWidth="10.875" defaultRowHeight="12"/>
  <cols>
    <col min="1" max="1" width="9.625" style="13" customWidth="1"/>
    <col min="2" max="2" width="7.125" style="13" bestFit="1" customWidth="1"/>
    <col min="3" max="3" width="10.125" style="13" bestFit="1" customWidth="1"/>
    <col min="4" max="4" width="13.25" style="13" bestFit="1" customWidth="1"/>
    <col min="5" max="5" width="27.625" style="13" bestFit="1" customWidth="1"/>
    <col min="6" max="6" width="33" style="13" customWidth="1"/>
    <col min="7" max="7" width="14" style="13" bestFit="1" customWidth="1"/>
    <col min="8" max="8" width="13.875" style="12" bestFit="1" customWidth="1"/>
    <col min="9" max="9" width="12.75" style="35" bestFit="1" customWidth="1"/>
    <col min="10" max="10" width="15.25" style="13" bestFit="1" customWidth="1"/>
    <col min="11" max="11" width="10.875" style="13" bestFit="1" customWidth="1"/>
    <col min="12" max="12" width="12.625" style="35" bestFit="1" customWidth="1"/>
    <col min="13" max="13" width="10.875" style="13" bestFit="1" customWidth="1"/>
    <col min="14" max="14" width="15.25" style="12" bestFit="1" customWidth="1"/>
    <col min="15" max="15" width="14" style="12" bestFit="1" customWidth="1"/>
    <col min="16" max="16" width="10.625" style="13" bestFit="1" customWidth="1"/>
    <col min="17" max="17" width="10.25" style="13" bestFit="1" customWidth="1"/>
    <col min="18" max="18" width="40.375" style="13" bestFit="1" customWidth="1"/>
    <col min="19" max="19" width="24.75" style="13" bestFit="1" customWidth="1"/>
    <col min="20" max="20" width="14.25" style="13" bestFit="1" customWidth="1"/>
    <col min="21" max="16384" width="10.875" style="13"/>
  </cols>
  <sheetData>
    <row r="1" spans="1:22" s="17" customFormat="1" ht="11.4">
      <c r="A1" s="16" t="s">
        <v>12</v>
      </c>
      <c r="B1" s="291"/>
      <c r="C1" s="291"/>
      <c r="E1" s="382">
        <f>ROUND(Totals!$H$8*Totals!$P$14, 0)</f>
        <v>61730230</v>
      </c>
      <c r="F1" s="18"/>
      <c r="G1" s="18"/>
      <c r="H1" s="332"/>
      <c r="I1" s="333"/>
      <c r="J1" s="284"/>
      <c r="K1" s="284"/>
      <c r="L1" s="333"/>
      <c r="M1" s="284"/>
      <c r="N1" s="332"/>
      <c r="O1" s="332"/>
      <c r="P1" s="284"/>
      <c r="R1" s="285"/>
      <c r="S1" s="5"/>
      <c r="T1" s="5"/>
      <c r="U1" s="5"/>
      <c r="V1" s="5"/>
    </row>
    <row r="2" spans="1:22" s="5" customFormat="1" ht="11.4">
      <c r="A2" s="25" t="s">
        <v>11</v>
      </c>
      <c r="B2" s="48"/>
      <c r="C2" s="48"/>
      <c r="E2" s="26"/>
      <c r="F2" s="26"/>
      <c r="G2" s="26"/>
      <c r="H2" s="46"/>
      <c r="I2" s="47"/>
      <c r="J2" s="6"/>
      <c r="K2" s="6"/>
      <c r="L2" s="47"/>
      <c r="M2" s="6"/>
      <c r="N2" s="46"/>
      <c r="O2" s="46"/>
      <c r="P2" s="6"/>
      <c r="R2" s="286"/>
    </row>
    <row r="3" spans="1:22">
      <c r="A3" s="136"/>
      <c r="B3" s="43"/>
      <c r="C3" s="43"/>
      <c r="E3" s="36"/>
      <c r="F3" s="36"/>
      <c r="G3" s="36"/>
      <c r="H3" s="44"/>
      <c r="I3" s="86"/>
      <c r="L3" s="13"/>
      <c r="M3" s="11"/>
      <c r="N3" s="44"/>
      <c r="O3" s="44"/>
      <c r="P3" s="11"/>
      <c r="Q3" s="1"/>
      <c r="R3" s="287"/>
    </row>
    <row r="4" spans="1:22" s="5" customFormat="1">
      <c r="A4" s="31" t="s">
        <v>206</v>
      </c>
      <c r="B4" s="5" t="s">
        <v>208</v>
      </c>
      <c r="C4" s="5" t="s">
        <v>32</v>
      </c>
      <c r="D4" s="5" t="s">
        <v>37</v>
      </c>
      <c r="E4" s="5" t="s">
        <v>31</v>
      </c>
      <c r="F4" s="26" t="s">
        <v>49</v>
      </c>
      <c r="G4" s="26" t="s">
        <v>45</v>
      </c>
      <c r="H4" s="84" t="s">
        <v>23</v>
      </c>
      <c r="I4" s="32" t="s">
        <v>8</v>
      </c>
      <c r="J4" s="6" t="s">
        <v>14</v>
      </c>
      <c r="K4" s="6" t="s">
        <v>34</v>
      </c>
      <c r="L4" s="32" t="s">
        <v>4</v>
      </c>
      <c r="M4" s="6" t="s">
        <v>157</v>
      </c>
      <c r="N4" s="32" t="s">
        <v>27</v>
      </c>
      <c r="O4" s="32" t="s">
        <v>44</v>
      </c>
      <c r="P4" s="6" t="s">
        <v>22</v>
      </c>
      <c r="Q4" s="5" t="s">
        <v>172</v>
      </c>
      <c r="R4" s="30" t="s">
        <v>286</v>
      </c>
      <c r="S4" s="13"/>
      <c r="T4" s="13"/>
      <c r="U4" s="13"/>
      <c r="V4" s="13"/>
    </row>
    <row r="5" spans="1:22" s="5" customFormat="1">
      <c r="A5" s="31" t="s">
        <v>207</v>
      </c>
      <c r="B5" s="5" t="s">
        <v>207</v>
      </c>
      <c r="C5" s="5" t="s">
        <v>48</v>
      </c>
      <c r="D5" s="13"/>
      <c r="F5" s="26"/>
      <c r="G5" s="26"/>
      <c r="H5" s="84" t="s">
        <v>42</v>
      </c>
      <c r="I5" s="32" t="s">
        <v>42</v>
      </c>
      <c r="J5" s="6" t="s">
        <v>9</v>
      </c>
      <c r="K5" s="6" t="s">
        <v>18</v>
      </c>
      <c r="L5" s="32" t="s">
        <v>42</v>
      </c>
      <c r="M5" s="6" t="s">
        <v>18</v>
      </c>
      <c r="N5" s="32" t="s">
        <v>42</v>
      </c>
      <c r="O5" s="32" t="s">
        <v>42</v>
      </c>
      <c r="P5" s="6" t="s">
        <v>5</v>
      </c>
      <c r="Q5" s="5" t="s">
        <v>171</v>
      </c>
      <c r="R5" s="30" t="s">
        <v>287</v>
      </c>
      <c r="S5" s="13"/>
      <c r="T5" s="13"/>
      <c r="U5" s="13"/>
      <c r="V5" s="13"/>
    </row>
    <row r="6" spans="1:22" s="5" customFormat="1" ht="12.6" thickBot="1">
      <c r="A6" s="37"/>
      <c r="B6" s="33"/>
      <c r="C6" s="33" t="s">
        <v>173</v>
      </c>
      <c r="D6" s="38"/>
      <c r="E6" s="33"/>
      <c r="F6" s="39"/>
      <c r="G6" s="39"/>
      <c r="H6" s="130"/>
      <c r="I6" s="55"/>
      <c r="J6" s="40"/>
      <c r="K6" s="40"/>
      <c r="L6" s="55"/>
      <c r="M6" s="40"/>
      <c r="N6" s="55"/>
      <c r="O6" s="55"/>
      <c r="P6" s="40"/>
      <c r="Q6" s="38"/>
      <c r="R6" s="386" t="s">
        <v>9</v>
      </c>
      <c r="S6" s="13"/>
      <c r="T6" s="13"/>
      <c r="U6" s="13"/>
      <c r="V6" s="13"/>
    </row>
    <row r="7" spans="1:22" s="5" customFormat="1" ht="11.4">
      <c r="A7" s="5">
        <v>3</v>
      </c>
      <c r="B7" s="5">
        <v>3</v>
      </c>
      <c r="C7" s="5">
        <v>5276</v>
      </c>
      <c r="D7" s="5" t="s">
        <v>625</v>
      </c>
      <c r="E7" s="5" t="s">
        <v>221</v>
      </c>
      <c r="F7" s="26" t="s">
        <v>421</v>
      </c>
      <c r="G7" s="26" t="s">
        <v>79</v>
      </c>
      <c r="H7" s="352">
        <v>8000000</v>
      </c>
      <c r="I7" s="349">
        <f>H7</f>
        <v>8000000</v>
      </c>
      <c r="J7" s="6">
        <v>44205</v>
      </c>
      <c r="K7" s="6">
        <f>J7+35</f>
        <v>44240</v>
      </c>
      <c r="L7" s="349">
        <v>8000000</v>
      </c>
      <c r="M7" s="6">
        <f>J7+180</f>
        <v>44385</v>
      </c>
      <c r="N7" s="349"/>
      <c r="O7" s="349"/>
      <c r="P7" s="6"/>
      <c r="Q7" s="5" t="s">
        <v>210</v>
      </c>
      <c r="R7" s="489" t="s">
        <v>630</v>
      </c>
    </row>
    <row r="8" spans="1:22" s="5" customFormat="1" ht="11.4">
      <c r="A8" s="5">
        <v>12</v>
      </c>
      <c r="B8" s="5">
        <v>18</v>
      </c>
      <c r="C8" s="5">
        <v>5284</v>
      </c>
      <c r="D8" s="5" t="s">
        <v>625</v>
      </c>
      <c r="E8" s="5" t="s">
        <v>221</v>
      </c>
      <c r="F8" s="26" t="s">
        <v>420</v>
      </c>
      <c r="G8" s="26" t="s">
        <v>291</v>
      </c>
      <c r="H8" s="352">
        <v>8500000</v>
      </c>
      <c r="I8" s="349">
        <f>H8</f>
        <v>8500000</v>
      </c>
      <c r="J8" s="6">
        <v>44208</v>
      </c>
      <c r="K8" s="6">
        <f>J8+35</f>
        <v>44243</v>
      </c>
      <c r="L8" s="349">
        <v>8500000</v>
      </c>
      <c r="M8" s="6">
        <f>J8+180</f>
        <v>44388</v>
      </c>
      <c r="N8" s="428"/>
      <c r="O8" s="428"/>
      <c r="P8" s="6"/>
      <c r="Q8" s="5" t="s">
        <v>210</v>
      </c>
      <c r="R8" s="489" t="s">
        <v>631</v>
      </c>
      <c r="S8" s="381"/>
    </row>
    <row r="9" spans="1:22">
      <c r="A9" s="13">
        <v>16</v>
      </c>
      <c r="B9" s="13">
        <v>30</v>
      </c>
      <c r="C9" s="13">
        <v>5293</v>
      </c>
      <c r="D9" s="13" t="s">
        <v>390</v>
      </c>
      <c r="E9" s="13" t="s">
        <v>98</v>
      </c>
      <c r="F9" s="36" t="s">
        <v>188</v>
      </c>
      <c r="G9" s="36" t="s">
        <v>79</v>
      </c>
      <c r="H9" s="425">
        <v>35000000</v>
      </c>
      <c r="I9" s="289">
        <f>H9</f>
        <v>35000000</v>
      </c>
      <c r="J9" s="11">
        <v>44209</v>
      </c>
      <c r="K9" s="11">
        <f>J9+35</f>
        <v>44244</v>
      </c>
      <c r="L9" s="289">
        <v>35000000</v>
      </c>
      <c r="M9" s="11">
        <f>J9+180</f>
        <v>44389</v>
      </c>
      <c r="N9" s="289">
        <v>0</v>
      </c>
      <c r="O9" s="289">
        <f>L9-N9</f>
        <v>35000000</v>
      </c>
      <c r="P9" s="11">
        <v>44348</v>
      </c>
      <c r="Q9" s="13" t="s">
        <v>209</v>
      </c>
      <c r="R9" s="445" t="s">
        <v>637</v>
      </c>
    </row>
    <row r="10" spans="1:22">
      <c r="A10" s="13">
        <v>30</v>
      </c>
      <c r="B10" s="13">
        <v>52</v>
      </c>
      <c r="C10" s="13" t="s">
        <v>515</v>
      </c>
      <c r="D10" s="13" t="s">
        <v>390</v>
      </c>
      <c r="E10" s="13" t="s">
        <v>98</v>
      </c>
      <c r="F10" s="36" t="s">
        <v>174</v>
      </c>
      <c r="G10" s="36" t="s">
        <v>79</v>
      </c>
      <c r="H10" s="425">
        <v>0</v>
      </c>
      <c r="I10" s="289"/>
      <c r="J10" s="11"/>
      <c r="K10" s="11"/>
      <c r="L10" s="350"/>
      <c r="M10" s="11"/>
      <c r="N10" s="289"/>
      <c r="O10" s="289"/>
      <c r="P10" s="11"/>
      <c r="Q10" s="13" t="s">
        <v>264</v>
      </c>
      <c r="R10" s="93"/>
    </row>
    <row r="11" spans="1:22" s="446" customFormat="1">
      <c r="A11" s="446">
        <v>31</v>
      </c>
      <c r="B11" s="446">
        <v>53</v>
      </c>
      <c r="C11" s="446">
        <v>5316</v>
      </c>
      <c r="D11" s="446" t="s">
        <v>390</v>
      </c>
      <c r="E11" s="446" t="s">
        <v>98</v>
      </c>
      <c r="F11" s="447" t="s">
        <v>408</v>
      </c>
      <c r="G11" s="447" t="s">
        <v>79</v>
      </c>
      <c r="H11" s="525">
        <v>40000000</v>
      </c>
      <c r="I11" s="390">
        <f>H11</f>
        <v>40000000</v>
      </c>
      <c r="J11" s="448">
        <v>44218</v>
      </c>
      <c r="K11" s="448">
        <f>J11+35</f>
        <v>44253</v>
      </c>
      <c r="L11" s="390">
        <v>40000000</v>
      </c>
      <c r="M11" s="448">
        <f>J11+180</f>
        <v>44398</v>
      </c>
      <c r="N11" s="390">
        <v>0</v>
      </c>
      <c r="O11" s="390">
        <f>L11-N11</f>
        <v>40000000</v>
      </c>
      <c r="P11" s="448">
        <v>44281</v>
      </c>
      <c r="Q11" s="446" t="s">
        <v>264</v>
      </c>
      <c r="R11" s="526" t="s">
        <v>651</v>
      </c>
      <c r="S11" s="527" t="s">
        <v>652</v>
      </c>
    </row>
    <row r="12" spans="1:22" s="512" customFormat="1">
      <c r="A12" s="512">
        <v>35</v>
      </c>
      <c r="B12" s="512">
        <v>57</v>
      </c>
      <c r="C12" s="512" t="s">
        <v>516</v>
      </c>
      <c r="D12" s="512" t="s">
        <v>43</v>
      </c>
      <c r="E12" s="512" t="s">
        <v>141</v>
      </c>
      <c r="F12" s="513" t="s">
        <v>340</v>
      </c>
      <c r="G12" s="513" t="s">
        <v>341</v>
      </c>
      <c r="H12" s="518">
        <v>0</v>
      </c>
      <c r="I12" s="514"/>
      <c r="J12" s="515"/>
      <c r="K12" s="515"/>
      <c r="L12" s="514"/>
      <c r="M12" s="515"/>
      <c r="N12" s="514"/>
      <c r="O12" s="514"/>
      <c r="P12" s="515"/>
      <c r="Q12" s="512" t="s">
        <v>264</v>
      </c>
      <c r="R12" s="515"/>
    </row>
    <row r="13" spans="1:22">
      <c r="A13" s="13">
        <v>44</v>
      </c>
      <c r="B13" s="13">
        <v>66</v>
      </c>
      <c r="C13" s="13">
        <v>5328</v>
      </c>
      <c r="D13" s="13" t="s">
        <v>390</v>
      </c>
      <c r="E13" s="13" t="s">
        <v>221</v>
      </c>
      <c r="F13" s="36" t="s">
        <v>527</v>
      </c>
      <c r="G13" s="36" t="s">
        <v>163</v>
      </c>
      <c r="H13" s="425">
        <v>42000000</v>
      </c>
      <c r="I13" s="289">
        <f>H13</f>
        <v>42000000</v>
      </c>
      <c r="J13" s="11">
        <v>44253</v>
      </c>
      <c r="K13" s="11">
        <f>J13+35</f>
        <v>44288</v>
      </c>
      <c r="L13" s="289">
        <v>42000000</v>
      </c>
      <c r="M13" s="11">
        <f>J13+180</f>
        <v>44433</v>
      </c>
      <c r="N13" s="289">
        <v>0</v>
      </c>
      <c r="O13" s="289">
        <f>L13-N13</f>
        <v>42000000</v>
      </c>
      <c r="P13" s="11">
        <v>44281</v>
      </c>
      <c r="Q13" s="13" t="s">
        <v>264</v>
      </c>
      <c r="R13" s="445" t="s">
        <v>679</v>
      </c>
      <c r="S13" s="472" t="s">
        <v>681</v>
      </c>
    </row>
    <row r="14" spans="1:22" s="512" customFormat="1">
      <c r="A14" s="512">
        <v>50</v>
      </c>
      <c r="B14" s="512">
        <v>73</v>
      </c>
      <c r="C14" s="512" t="s">
        <v>517</v>
      </c>
      <c r="D14" s="512" t="s">
        <v>43</v>
      </c>
      <c r="E14" s="512" t="s">
        <v>141</v>
      </c>
      <c r="F14" s="513" t="s">
        <v>406</v>
      </c>
      <c r="G14" s="513" t="s">
        <v>275</v>
      </c>
      <c r="H14" s="518">
        <v>0</v>
      </c>
      <c r="I14" s="514"/>
      <c r="J14" s="515"/>
      <c r="K14" s="515"/>
      <c r="L14" s="514"/>
      <c r="M14" s="515"/>
      <c r="N14" s="514"/>
      <c r="O14" s="514"/>
      <c r="P14" s="515"/>
      <c r="Q14" s="512" t="s">
        <v>264</v>
      </c>
      <c r="R14" s="515"/>
    </row>
    <row r="15" spans="1:22">
      <c r="A15" s="13">
        <v>55</v>
      </c>
      <c r="B15" s="13">
        <v>77</v>
      </c>
      <c r="C15" s="13" t="s">
        <v>518</v>
      </c>
      <c r="D15" s="13" t="s">
        <v>390</v>
      </c>
      <c r="E15" s="13" t="s">
        <v>141</v>
      </c>
      <c r="F15" s="36" t="s">
        <v>270</v>
      </c>
      <c r="G15" s="36" t="s">
        <v>271</v>
      </c>
      <c r="H15" s="425">
        <v>0</v>
      </c>
      <c r="I15" s="289"/>
      <c r="J15" s="11"/>
      <c r="K15" s="11"/>
      <c r="L15" s="289"/>
      <c r="M15" s="11"/>
      <c r="N15" s="289"/>
      <c r="O15" s="289"/>
      <c r="P15" s="11"/>
      <c r="Q15" s="13" t="s">
        <v>264</v>
      </c>
      <c r="R15" s="11"/>
    </row>
    <row r="16" spans="1:22">
      <c r="A16" s="13">
        <v>57</v>
      </c>
      <c r="B16" s="13">
        <v>79</v>
      </c>
      <c r="C16" s="13" t="s">
        <v>519</v>
      </c>
      <c r="D16" s="13" t="s">
        <v>390</v>
      </c>
      <c r="E16" s="13" t="s">
        <v>221</v>
      </c>
      <c r="F16" s="36" t="s">
        <v>399</v>
      </c>
      <c r="G16" s="36" t="s">
        <v>79</v>
      </c>
      <c r="H16" s="425">
        <v>0</v>
      </c>
      <c r="I16" s="289"/>
      <c r="J16" s="11"/>
      <c r="K16" s="11"/>
      <c r="L16" s="289"/>
      <c r="M16" s="11"/>
      <c r="N16" s="289"/>
      <c r="O16" s="289"/>
      <c r="P16" s="11"/>
      <c r="Q16" s="13" t="s">
        <v>264</v>
      </c>
      <c r="R16" s="93" t="s">
        <v>680</v>
      </c>
    </row>
    <row r="17" spans="1:19" s="512" customFormat="1">
      <c r="A17" s="512">
        <v>65</v>
      </c>
      <c r="B17" s="512">
        <v>85</v>
      </c>
      <c r="C17" s="512" t="s">
        <v>520</v>
      </c>
      <c r="D17" s="512" t="s">
        <v>43</v>
      </c>
      <c r="E17" s="512" t="s">
        <v>221</v>
      </c>
      <c r="F17" s="513" t="s">
        <v>400</v>
      </c>
      <c r="G17" s="513" t="s">
        <v>79</v>
      </c>
      <c r="H17" s="518">
        <v>0</v>
      </c>
      <c r="I17" s="514"/>
      <c r="J17" s="515"/>
      <c r="K17" s="515"/>
      <c r="L17" s="514"/>
      <c r="M17" s="515"/>
      <c r="N17" s="514"/>
      <c r="O17" s="514"/>
      <c r="P17" s="515"/>
      <c r="Q17" s="512" t="s">
        <v>264</v>
      </c>
      <c r="R17" s="519" t="s">
        <v>684</v>
      </c>
    </row>
    <row r="18" spans="1:19" s="512" customFormat="1">
      <c r="A18" s="512">
        <v>70</v>
      </c>
      <c r="B18" s="512">
        <v>92</v>
      </c>
      <c r="C18" s="512" t="s">
        <v>521</v>
      </c>
      <c r="D18" s="512" t="s">
        <v>43</v>
      </c>
      <c r="E18" s="512" t="s">
        <v>141</v>
      </c>
      <c r="F18" s="513" t="s">
        <v>528</v>
      </c>
      <c r="G18" s="513" t="s">
        <v>271</v>
      </c>
      <c r="H18" s="518">
        <v>0</v>
      </c>
      <c r="I18" s="514"/>
      <c r="J18" s="515"/>
      <c r="K18" s="515"/>
      <c r="L18" s="514"/>
      <c r="M18" s="515"/>
      <c r="N18" s="514"/>
      <c r="O18" s="514"/>
      <c r="P18" s="515"/>
      <c r="Q18" s="512" t="s">
        <v>264</v>
      </c>
      <c r="R18" s="515"/>
    </row>
    <row r="19" spans="1:19">
      <c r="A19" s="13">
        <v>81</v>
      </c>
      <c r="B19" s="13">
        <v>101</v>
      </c>
      <c r="C19" s="13" t="s">
        <v>522</v>
      </c>
      <c r="D19" s="13" t="s">
        <v>390</v>
      </c>
      <c r="E19" s="13" t="s">
        <v>98</v>
      </c>
      <c r="F19" s="36" t="s">
        <v>409</v>
      </c>
      <c r="G19" s="36" t="s">
        <v>79</v>
      </c>
      <c r="H19" s="425">
        <v>0</v>
      </c>
      <c r="I19" s="289"/>
      <c r="J19" s="11"/>
      <c r="K19" s="11"/>
      <c r="L19" s="289"/>
      <c r="M19" s="11"/>
      <c r="N19" s="289"/>
      <c r="O19" s="289"/>
      <c r="P19" s="11"/>
      <c r="Q19" s="13" t="s">
        <v>264</v>
      </c>
      <c r="R19" s="11"/>
    </row>
    <row r="20" spans="1:19" s="512" customFormat="1">
      <c r="A20" s="512">
        <v>90</v>
      </c>
      <c r="B20" s="512">
        <v>106</v>
      </c>
      <c r="C20" s="512" t="s">
        <v>523</v>
      </c>
      <c r="D20" s="512" t="s">
        <v>43</v>
      </c>
      <c r="E20" s="512" t="s">
        <v>141</v>
      </c>
      <c r="F20" s="513" t="s">
        <v>342</v>
      </c>
      <c r="G20" s="513" t="s">
        <v>343</v>
      </c>
      <c r="H20" s="518">
        <v>0</v>
      </c>
      <c r="I20" s="514"/>
      <c r="J20" s="515"/>
      <c r="K20" s="515"/>
      <c r="L20" s="514"/>
      <c r="M20" s="515"/>
      <c r="N20" s="514"/>
      <c r="O20" s="514"/>
      <c r="P20" s="515"/>
      <c r="Q20" s="512" t="s">
        <v>272</v>
      </c>
      <c r="R20" s="515"/>
    </row>
    <row r="21" spans="1:19" s="512" customFormat="1">
      <c r="A21" s="512">
        <v>104</v>
      </c>
      <c r="B21" s="512">
        <v>111</v>
      </c>
      <c r="C21" s="512" t="s">
        <v>524</v>
      </c>
      <c r="D21" s="512" t="s">
        <v>43</v>
      </c>
      <c r="E21" s="512" t="s">
        <v>221</v>
      </c>
      <c r="F21" s="513" t="s">
        <v>529</v>
      </c>
      <c r="G21" s="513" t="s">
        <v>79</v>
      </c>
      <c r="H21" s="518">
        <v>0</v>
      </c>
      <c r="I21" s="514"/>
      <c r="J21" s="515"/>
      <c r="K21" s="515"/>
      <c r="L21" s="514"/>
      <c r="M21" s="515"/>
      <c r="N21" s="514"/>
      <c r="O21" s="514"/>
      <c r="P21" s="515"/>
      <c r="Q21" s="512" t="s">
        <v>272</v>
      </c>
      <c r="R21" s="515"/>
    </row>
    <row r="22" spans="1:19">
      <c r="A22" s="13">
        <v>108</v>
      </c>
      <c r="B22" s="13">
        <v>115</v>
      </c>
      <c r="C22" s="13">
        <v>5315</v>
      </c>
      <c r="D22" s="13" t="s">
        <v>390</v>
      </c>
      <c r="E22" s="13" t="s">
        <v>98</v>
      </c>
      <c r="F22" s="36" t="s">
        <v>398</v>
      </c>
      <c r="G22" s="36" t="s">
        <v>79</v>
      </c>
      <c r="H22" s="425">
        <v>40000000</v>
      </c>
      <c r="I22" s="289">
        <f>H22</f>
        <v>40000000</v>
      </c>
      <c r="J22" s="11">
        <v>44218</v>
      </c>
      <c r="K22" s="11">
        <f>J22+35</f>
        <v>44253</v>
      </c>
      <c r="L22" s="289">
        <v>40000000</v>
      </c>
      <c r="M22" s="11">
        <f>J22+180</f>
        <v>44398</v>
      </c>
      <c r="N22" s="289">
        <v>0</v>
      </c>
      <c r="O22" s="289">
        <f>L22-N22</f>
        <v>40000000</v>
      </c>
      <c r="P22" s="11">
        <v>44365</v>
      </c>
      <c r="Q22" s="13" t="s">
        <v>272</v>
      </c>
      <c r="R22" s="11"/>
      <c r="S22" s="472" t="s">
        <v>649</v>
      </c>
    </row>
    <row r="23" spans="1:19">
      <c r="A23" s="13">
        <v>109</v>
      </c>
      <c r="B23" s="13">
        <v>116</v>
      </c>
      <c r="C23" s="13" t="s">
        <v>525</v>
      </c>
      <c r="D23" s="13" t="s">
        <v>390</v>
      </c>
      <c r="E23" s="13" t="s">
        <v>143</v>
      </c>
      <c r="F23" s="36" t="s">
        <v>346</v>
      </c>
      <c r="G23" s="36" t="s">
        <v>79</v>
      </c>
      <c r="H23" s="425">
        <v>0</v>
      </c>
      <c r="I23" s="289"/>
      <c r="J23" s="11"/>
      <c r="K23" s="11"/>
      <c r="L23" s="289"/>
      <c r="M23" s="11"/>
      <c r="N23" s="289"/>
      <c r="O23" s="289"/>
      <c r="P23" s="11"/>
      <c r="Q23" s="13" t="s">
        <v>272</v>
      </c>
      <c r="R23" s="11"/>
    </row>
    <row r="24" spans="1:19" s="512" customFormat="1">
      <c r="A24" s="512">
        <v>115</v>
      </c>
      <c r="B24" s="512">
        <v>118</v>
      </c>
      <c r="C24" s="512" t="s">
        <v>526</v>
      </c>
      <c r="D24" s="512" t="s">
        <v>43</v>
      </c>
      <c r="E24" s="512" t="s">
        <v>141</v>
      </c>
      <c r="F24" s="513" t="s">
        <v>219</v>
      </c>
      <c r="G24" s="513" t="s">
        <v>142</v>
      </c>
      <c r="H24" s="518">
        <v>0</v>
      </c>
      <c r="I24" s="514"/>
      <c r="J24" s="515"/>
      <c r="K24" s="515"/>
      <c r="L24" s="514"/>
      <c r="M24" s="515"/>
      <c r="N24" s="514"/>
      <c r="O24" s="514"/>
      <c r="P24" s="515"/>
      <c r="Q24" s="512" t="s">
        <v>272</v>
      </c>
      <c r="R24" s="515"/>
    </row>
    <row r="25" spans="1:19">
      <c r="F25" s="36"/>
      <c r="G25" s="36"/>
      <c r="H25" s="425"/>
      <c r="I25" s="289"/>
      <c r="J25" s="11"/>
      <c r="K25" s="11"/>
      <c r="L25" s="289"/>
      <c r="M25" s="11"/>
      <c r="N25" s="289"/>
      <c r="O25" s="289"/>
      <c r="P25" s="11"/>
      <c r="R25" s="11"/>
    </row>
    <row r="26" spans="1:19">
      <c r="A26" s="43"/>
      <c r="B26" s="43"/>
      <c r="C26" s="43"/>
      <c r="D26" s="43"/>
      <c r="E26" s="1"/>
      <c r="F26" s="13" t="s">
        <v>19</v>
      </c>
      <c r="H26" s="263">
        <f>SUM(H7:H25)</f>
        <v>173500000</v>
      </c>
      <c r="I26" s="263">
        <f>SUM(I7:I25)</f>
        <v>173500000</v>
      </c>
      <c r="J26" s="10"/>
      <c r="K26" s="10"/>
      <c r="L26" s="263">
        <f>SUM(L7:L25)</f>
        <v>173500000</v>
      </c>
      <c r="M26" s="10"/>
      <c r="N26" s="263">
        <f>SUM(N7:N25)</f>
        <v>0</v>
      </c>
      <c r="O26" s="263">
        <f>SUM(O7:O25)</f>
        <v>157000000</v>
      </c>
    </row>
    <row r="27" spans="1:19" s="1" customFormat="1">
      <c r="A27" s="5"/>
      <c r="B27" s="5"/>
      <c r="C27" s="5"/>
      <c r="D27" s="88"/>
      <c r="F27" s="13"/>
      <c r="H27" s="76"/>
      <c r="J27" s="11"/>
      <c r="K27" s="11"/>
      <c r="L27" s="9"/>
      <c r="M27" s="6"/>
      <c r="Q27" s="13"/>
    </row>
    <row r="28" spans="1:19" s="1" customFormat="1">
      <c r="A28" s="5"/>
      <c r="B28" s="5"/>
      <c r="C28" s="5"/>
      <c r="E28" s="5"/>
      <c r="F28" s="13" t="s">
        <v>43</v>
      </c>
      <c r="G28" s="5"/>
      <c r="H28" s="34">
        <f>H26-I26</f>
        <v>0</v>
      </c>
      <c r="I28" s="9"/>
      <c r="J28" s="3"/>
      <c r="L28" s="9"/>
      <c r="Q28" s="13"/>
    </row>
    <row r="29" spans="1:19" s="1" customFormat="1">
      <c r="A29" s="5"/>
      <c r="B29" s="5"/>
      <c r="C29" s="5"/>
      <c r="E29" s="5"/>
      <c r="G29" s="5"/>
      <c r="H29" s="67"/>
      <c r="I29" s="9"/>
      <c r="K29" s="138"/>
      <c r="L29" s="9"/>
      <c r="M29" s="3"/>
      <c r="N29" s="76"/>
      <c r="Q29" s="13"/>
    </row>
    <row r="30" spans="1:19" s="1" customFormat="1">
      <c r="A30" s="5"/>
      <c r="B30" s="5"/>
      <c r="C30" s="5"/>
      <c r="E30" s="133"/>
      <c r="F30" s="58" t="s">
        <v>10</v>
      </c>
      <c r="G30" s="5"/>
      <c r="H30" s="77">
        <f>E1-I26+O26+G34</f>
        <v>45230230</v>
      </c>
      <c r="I30" s="292"/>
      <c r="J30" s="138"/>
      <c r="L30" s="9"/>
      <c r="M30" s="3"/>
      <c r="Q30" s="13"/>
    </row>
    <row r="31" spans="1:19">
      <c r="A31" s="43"/>
      <c r="B31" s="43"/>
      <c r="C31" s="43"/>
      <c r="D31" s="1"/>
      <c r="E31" s="1"/>
      <c r="F31" s="1"/>
      <c r="G31" s="1"/>
      <c r="H31" s="9"/>
      <c r="I31" s="34"/>
      <c r="N31" s="398"/>
    </row>
    <row r="32" spans="1:19">
      <c r="A32" s="43"/>
      <c r="B32" s="43"/>
      <c r="C32" s="43"/>
      <c r="D32" s="1"/>
      <c r="E32" s="1"/>
      <c r="F32" s="1"/>
      <c r="G32" s="289"/>
      <c r="H32" s="9"/>
      <c r="I32" s="34"/>
      <c r="K32" s="11"/>
      <c r="L32" s="412"/>
      <c r="N32" s="398"/>
    </row>
    <row r="33" spans="3:14">
      <c r="C33" s="43"/>
      <c r="D33" s="43"/>
      <c r="E33" s="148"/>
      <c r="F33" s="148"/>
      <c r="G33" s="289"/>
      <c r="H33" s="288"/>
      <c r="K33" s="11"/>
      <c r="L33" s="406"/>
      <c r="N33" s="398"/>
    </row>
    <row r="34" spans="3:14">
      <c r="G34" s="300">
        <f>SUM(G33:G33)</f>
        <v>0</v>
      </c>
      <c r="L34" s="398"/>
    </row>
    <row r="35" spans="3:14">
      <c r="H35" s="62"/>
      <c r="I35" s="62"/>
    </row>
    <row r="36" spans="3:14">
      <c r="I36" s="34"/>
    </row>
    <row r="43" spans="3:14">
      <c r="J43" s="13" t="s">
        <v>7</v>
      </c>
    </row>
  </sheetData>
  <phoneticPr fontId="0" type="noConversion"/>
  <pageMargins left="0.75" right="0.75" top="1" bottom="1" header="0.5" footer="0.5"/>
  <pageSetup scale="82" fitToHeight="2" orientation="landscape" horizontalDpi="4294967292" verticalDpi="4294967292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21">
    <tabColor theme="0" tint="-0.499984740745262"/>
  </sheetPr>
  <dimension ref="A1:V27"/>
  <sheetViews>
    <sheetView zoomScaleNormal="100" workbookViewId="0">
      <selection activeCell="H13" sqref="H13"/>
    </sheetView>
  </sheetViews>
  <sheetFormatPr defaultColWidth="10.875" defaultRowHeight="12"/>
  <cols>
    <col min="1" max="1" width="9.375" style="13" customWidth="1"/>
    <col min="2" max="2" width="7.125" style="13" bestFit="1" customWidth="1"/>
    <col min="3" max="3" width="10.125" style="13" bestFit="1" customWidth="1"/>
    <col min="4" max="4" width="10.375" style="13" customWidth="1"/>
    <col min="5" max="5" width="22.375" style="13" customWidth="1"/>
    <col min="6" max="6" width="29.375" style="13" customWidth="1"/>
    <col min="7" max="7" width="11.25" style="13" bestFit="1" customWidth="1"/>
    <col min="8" max="8" width="13.875" style="12" bestFit="1" customWidth="1"/>
    <col min="9" max="9" width="12.75" style="35" bestFit="1" customWidth="1"/>
    <col min="10" max="10" width="15.25" style="13" bestFit="1" customWidth="1"/>
    <col min="11" max="11" width="10.875" style="13" bestFit="1" customWidth="1"/>
    <col min="12" max="12" width="12.625" style="35" bestFit="1" customWidth="1"/>
    <col min="13" max="13" width="10.875" style="13" bestFit="1" customWidth="1"/>
    <col min="14" max="14" width="15.25" style="51" bestFit="1" customWidth="1"/>
    <col min="15" max="15" width="12.25" style="12" bestFit="1" customWidth="1"/>
    <col min="16" max="16" width="10.625" style="13" bestFit="1" customWidth="1"/>
    <col min="17" max="17" width="10.25" style="13" bestFit="1" customWidth="1"/>
    <col min="18" max="18" width="42.75" style="13" bestFit="1" customWidth="1"/>
    <col min="19" max="16384" width="10.875" style="13"/>
  </cols>
  <sheetData>
    <row r="1" spans="1:22" s="17" customFormat="1" ht="11.4">
      <c r="A1" s="16" t="s">
        <v>12</v>
      </c>
      <c r="B1" s="291"/>
      <c r="C1" s="291"/>
      <c r="E1" s="382">
        <f>ROUND(Totals!$H$8*Totals!$P$15, 0)</f>
        <v>32166524</v>
      </c>
      <c r="F1" s="18"/>
      <c r="G1" s="18"/>
      <c r="H1" s="332"/>
      <c r="I1" s="333"/>
      <c r="J1" s="284"/>
      <c r="K1" s="284"/>
      <c r="L1" s="333"/>
      <c r="M1" s="284"/>
      <c r="N1" s="332"/>
      <c r="O1" s="332"/>
      <c r="P1" s="284"/>
      <c r="R1" s="285"/>
      <c r="S1" s="5"/>
      <c r="T1" s="5"/>
      <c r="U1" s="5"/>
      <c r="V1" s="5"/>
    </row>
    <row r="2" spans="1:22" s="5" customFormat="1" ht="11.4">
      <c r="A2" s="25" t="s">
        <v>74</v>
      </c>
      <c r="B2" s="48"/>
      <c r="C2" s="48"/>
      <c r="E2" s="26"/>
      <c r="F2" s="26"/>
      <c r="G2" s="26"/>
      <c r="H2" s="46"/>
      <c r="I2" s="47"/>
      <c r="J2" s="6"/>
      <c r="K2" s="6"/>
      <c r="L2" s="47"/>
      <c r="M2" s="6"/>
      <c r="N2" s="46"/>
      <c r="O2" s="46"/>
      <c r="P2" s="6"/>
      <c r="R2" s="286"/>
    </row>
    <row r="3" spans="1:22">
      <c r="A3" s="137"/>
      <c r="H3" s="44"/>
      <c r="I3" s="45"/>
      <c r="J3" s="11"/>
      <c r="K3" s="11"/>
      <c r="L3" s="45"/>
      <c r="M3" s="11"/>
      <c r="N3" s="50"/>
      <c r="O3" s="44"/>
      <c r="P3" s="11"/>
      <c r="Q3" s="1"/>
      <c r="R3" s="287"/>
      <c r="S3" s="5"/>
      <c r="T3" s="5"/>
      <c r="U3" s="5"/>
      <c r="V3" s="5"/>
    </row>
    <row r="4" spans="1:22" s="5" customFormat="1">
      <c r="A4" s="31" t="s">
        <v>206</v>
      </c>
      <c r="B4" s="5" t="s">
        <v>208</v>
      </c>
      <c r="C4" s="5" t="s">
        <v>32</v>
      </c>
      <c r="D4" s="5" t="s">
        <v>37</v>
      </c>
      <c r="E4" s="5" t="s">
        <v>31</v>
      </c>
      <c r="F4" s="26" t="s">
        <v>49</v>
      </c>
      <c r="G4" s="26" t="s">
        <v>45</v>
      </c>
      <c r="H4" s="84" t="s">
        <v>23</v>
      </c>
      <c r="I4" s="32" t="s">
        <v>8</v>
      </c>
      <c r="J4" s="6" t="s">
        <v>14</v>
      </c>
      <c r="K4" s="6" t="s">
        <v>34</v>
      </c>
      <c r="L4" s="32" t="s">
        <v>4</v>
      </c>
      <c r="M4" s="6" t="s">
        <v>157</v>
      </c>
      <c r="N4" s="32" t="s">
        <v>27</v>
      </c>
      <c r="O4" s="32" t="s">
        <v>44</v>
      </c>
      <c r="P4" s="6" t="s">
        <v>22</v>
      </c>
      <c r="Q4" s="5" t="s">
        <v>172</v>
      </c>
      <c r="R4" s="30" t="s">
        <v>286</v>
      </c>
      <c r="S4" s="13"/>
      <c r="T4" s="13"/>
      <c r="U4" s="13"/>
      <c r="V4" s="13"/>
    </row>
    <row r="5" spans="1:22" s="5" customFormat="1">
      <c r="A5" s="31" t="s">
        <v>207</v>
      </c>
      <c r="B5" s="5" t="s">
        <v>207</v>
      </c>
      <c r="C5" s="5" t="s">
        <v>48</v>
      </c>
      <c r="D5" s="13"/>
      <c r="F5" s="26"/>
      <c r="G5" s="26"/>
      <c r="H5" s="84" t="s">
        <v>42</v>
      </c>
      <c r="I5" s="32" t="s">
        <v>42</v>
      </c>
      <c r="J5" s="6" t="s">
        <v>9</v>
      </c>
      <c r="K5" s="6" t="s">
        <v>18</v>
      </c>
      <c r="L5" s="32" t="s">
        <v>42</v>
      </c>
      <c r="M5" s="6" t="s">
        <v>18</v>
      </c>
      <c r="N5" s="32" t="s">
        <v>42</v>
      </c>
      <c r="O5" s="32" t="s">
        <v>42</v>
      </c>
      <c r="P5" s="6" t="s">
        <v>5</v>
      </c>
      <c r="Q5" s="5" t="s">
        <v>171</v>
      </c>
      <c r="R5" s="30" t="s">
        <v>287</v>
      </c>
      <c r="S5" s="13"/>
      <c r="T5" s="13"/>
      <c r="U5" s="13"/>
      <c r="V5" s="13"/>
    </row>
    <row r="6" spans="1:22" s="5" customFormat="1" ht="12.6" thickBot="1">
      <c r="A6" s="37"/>
      <c r="B6" s="33"/>
      <c r="C6" s="33" t="s">
        <v>173</v>
      </c>
      <c r="D6" s="38"/>
      <c r="E6" s="33"/>
      <c r="F6" s="39"/>
      <c r="G6" s="39"/>
      <c r="H6" s="130"/>
      <c r="I6" s="55"/>
      <c r="J6" s="40"/>
      <c r="K6" s="40"/>
      <c r="L6" s="55"/>
      <c r="M6" s="40"/>
      <c r="N6" s="55"/>
      <c r="O6" s="55"/>
      <c r="P6" s="40"/>
      <c r="Q6" s="38"/>
      <c r="R6" s="386" t="s">
        <v>9</v>
      </c>
      <c r="S6" s="13"/>
      <c r="T6" s="13"/>
      <c r="U6" s="13"/>
      <c r="V6" s="13"/>
    </row>
    <row r="7" spans="1:22">
      <c r="F7" s="36"/>
      <c r="G7" s="36"/>
      <c r="H7" s="289"/>
      <c r="I7" s="289"/>
      <c r="J7" s="11"/>
      <c r="K7" s="11"/>
      <c r="L7" s="289"/>
      <c r="M7" s="11"/>
      <c r="N7" s="289"/>
      <c r="O7" s="289"/>
      <c r="P7" s="11"/>
      <c r="R7" s="473"/>
    </row>
    <row r="8" spans="1:22">
      <c r="F8" s="36"/>
      <c r="G8" s="36"/>
      <c r="H8" s="27"/>
      <c r="I8" s="27"/>
      <c r="J8" s="11"/>
      <c r="K8" s="11"/>
      <c r="L8" s="314"/>
      <c r="M8" s="11"/>
      <c r="N8" s="314"/>
      <c r="O8" s="314"/>
      <c r="P8" s="11"/>
      <c r="R8" s="43"/>
    </row>
    <row r="9" spans="1:22">
      <c r="A9" s="43"/>
      <c r="B9" s="43"/>
      <c r="C9" s="43"/>
      <c r="D9" s="43"/>
      <c r="E9" s="1"/>
      <c r="F9" s="13" t="s">
        <v>19</v>
      </c>
      <c r="H9" s="263">
        <f>SUM(H7:H7)</f>
        <v>0</v>
      </c>
      <c r="I9" s="263">
        <f>SUM(I7:I7)</f>
        <v>0</v>
      </c>
      <c r="J9" s="10"/>
      <c r="K9" s="10"/>
      <c r="L9" s="263">
        <f>SUM(L7:L7)</f>
        <v>0</v>
      </c>
      <c r="M9" s="10"/>
      <c r="N9" s="263">
        <f>SUM(N7:N7)</f>
        <v>0</v>
      </c>
      <c r="O9" s="263">
        <f>SUM(O7:O7)</f>
        <v>0</v>
      </c>
    </row>
    <row r="10" spans="1:22" s="1" customFormat="1">
      <c r="A10" s="5"/>
      <c r="B10" s="5"/>
      <c r="C10" s="5"/>
      <c r="D10" s="88"/>
      <c r="F10" s="13"/>
      <c r="H10" s="76"/>
      <c r="J10" s="11"/>
      <c r="K10" s="11"/>
      <c r="L10" s="9"/>
      <c r="M10" s="6"/>
      <c r="Q10" s="13"/>
    </row>
    <row r="11" spans="1:22" s="1" customFormat="1">
      <c r="A11" s="5"/>
      <c r="B11" s="5"/>
      <c r="C11" s="5"/>
      <c r="E11" s="5"/>
      <c r="F11" s="13" t="s">
        <v>43</v>
      </c>
      <c r="G11" s="5"/>
      <c r="H11" s="34">
        <f>H9-I9</f>
        <v>0</v>
      </c>
      <c r="I11" s="9"/>
      <c r="L11" s="9"/>
      <c r="P11" s="3"/>
      <c r="Q11" s="13"/>
    </row>
    <row r="12" spans="1:22" s="1" customFormat="1">
      <c r="A12" s="5"/>
      <c r="B12" s="5"/>
      <c r="C12" s="5"/>
      <c r="E12" s="5"/>
      <c r="G12" s="5"/>
      <c r="H12" s="67"/>
      <c r="I12" s="9"/>
      <c r="K12" s="138"/>
      <c r="L12" s="9"/>
      <c r="N12" s="76"/>
      <c r="Q12" s="13"/>
    </row>
    <row r="13" spans="1:22" s="1" customFormat="1">
      <c r="A13" s="5"/>
      <c r="B13" s="5"/>
      <c r="C13" s="5"/>
      <c r="E13" s="133"/>
      <c r="F13" s="58" t="s">
        <v>10</v>
      </c>
      <c r="G13" s="5"/>
      <c r="H13" s="77">
        <f>E1-I9+O9+G17</f>
        <v>32166524</v>
      </c>
      <c r="I13" s="292"/>
      <c r="J13" s="138"/>
      <c r="L13" s="9"/>
      <c r="M13" s="138"/>
      <c r="N13" s="2"/>
      <c r="Q13" s="13"/>
    </row>
    <row r="14" spans="1:22" s="1" customFormat="1">
      <c r="A14" s="5"/>
      <c r="B14" s="5"/>
      <c r="C14" s="5"/>
      <c r="E14" s="133"/>
      <c r="F14" s="58"/>
      <c r="G14" s="5"/>
      <c r="H14" s="124"/>
      <c r="I14" s="292"/>
      <c r="J14" s="138"/>
      <c r="L14" s="9"/>
      <c r="M14" s="138"/>
      <c r="N14" s="2"/>
      <c r="Q14" s="13"/>
    </row>
    <row r="15" spans="1:22">
      <c r="H15" s="65"/>
      <c r="N15" s="41"/>
    </row>
    <row r="16" spans="1:22">
      <c r="F16" s="5"/>
      <c r="H16" s="66"/>
    </row>
    <row r="17" spans="7:8">
      <c r="G17" s="300">
        <f>SUM(G15:G16)</f>
        <v>0</v>
      </c>
      <c r="H17" s="66"/>
    </row>
    <row r="18" spans="7:8">
      <c r="H18" s="66"/>
    </row>
    <row r="19" spans="7:8">
      <c r="H19" s="65"/>
    </row>
    <row r="20" spans="7:8">
      <c r="H20" s="65"/>
    </row>
    <row r="21" spans="7:8">
      <c r="H21" s="65"/>
    </row>
    <row r="22" spans="7:8">
      <c r="H22" s="65"/>
    </row>
    <row r="23" spans="7:8">
      <c r="H23" s="65"/>
    </row>
    <row r="24" spans="7:8">
      <c r="H24" s="65"/>
    </row>
    <row r="25" spans="7:8">
      <c r="H25" s="65"/>
    </row>
    <row r="26" spans="7:8">
      <c r="H26" s="65"/>
    </row>
    <row r="27" spans="7:8">
      <c r="H27" s="65"/>
    </row>
  </sheetData>
  <pageMargins left="0.75" right="0.75" top="1" bottom="1" header="0.5" footer="0.5"/>
  <pageSetup scale="72" orientation="landscape" horizontalDpi="4294967292" verticalDpi="4294967292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3">
    <tabColor theme="0" tint="-0.499984740745262"/>
  </sheetPr>
  <dimension ref="A1:V28"/>
  <sheetViews>
    <sheetView zoomScaleNormal="100" workbookViewId="0">
      <selection activeCell="H15" sqref="H15"/>
    </sheetView>
  </sheetViews>
  <sheetFormatPr defaultColWidth="10.875" defaultRowHeight="12"/>
  <cols>
    <col min="1" max="1" width="9.625" style="13" customWidth="1"/>
    <col min="2" max="2" width="7.125" style="13" bestFit="1" customWidth="1"/>
    <col min="3" max="3" width="10.125" style="13" bestFit="1" customWidth="1"/>
    <col min="4" max="4" width="13.25" style="13" bestFit="1" customWidth="1"/>
    <col min="5" max="5" width="26.75" style="13" customWidth="1"/>
    <col min="6" max="6" width="26.625" style="13" customWidth="1"/>
    <col min="7" max="7" width="11.25" style="13" bestFit="1" customWidth="1"/>
    <col min="8" max="8" width="13.875" style="12" bestFit="1" customWidth="1"/>
    <col min="9" max="9" width="12.75" style="35" bestFit="1" customWidth="1"/>
    <col min="10" max="10" width="15.25" style="13" bestFit="1" customWidth="1"/>
    <col min="11" max="11" width="10.875" style="13" bestFit="1" customWidth="1"/>
    <col min="12" max="12" width="12.625" style="35" bestFit="1" customWidth="1"/>
    <col min="13" max="13" width="10.875" style="13" bestFit="1" customWidth="1"/>
    <col min="14" max="14" width="15.25" style="51" bestFit="1" customWidth="1"/>
    <col min="15" max="15" width="12.25" style="12" bestFit="1" customWidth="1"/>
    <col min="16" max="16" width="10.625" style="13" bestFit="1" customWidth="1"/>
    <col min="17" max="17" width="10.25" style="13" bestFit="1" customWidth="1"/>
    <col min="18" max="18" width="37.75" style="13" customWidth="1"/>
    <col min="19" max="19" width="12.625" style="13" bestFit="1" customWidth="1"/>
    <col min="20" max="16384" width="10.875" style="13"/>
  </cols>
  <sheetData>
    <row r="1" spans="1:22" s="17" customFormat="1" ht="11.4">
      <c r="A1" s="16" t="s">
        <v>12</v>
      </c>
      <c r="B1" s="291"/>
      <c r="C1" s="291"/>
      <c r="E1" s="382">
        <f>ROUND(Totals!$H$8*Totals!$P$16, 0)</f>
        <v>68488667</v>
      </c>
      <c r="F1" s="18"/>
      <c r="G1" s="18"/>
      <c r="H1" s="332"/>
      <c r="I1" s="333"/>
      <c r="J1" s="284"/>
      <c r="K1" s="284"/>
      <c r="L1" s="333"/>
      <c r="M1" s="284"/>
      <c r="N1" s="332"/>
      <c r="O1" s="332"/>
      <c r="P1" s="284"/>
      <c r="R1" s="285"/>
      <c r="S1" s="5"/>
      <c r="T1" s="5"/>
      <c r="U1" s="5"/>
      <c r="V1" s="5"/>
    </row>
    <row r="2" spans="1:22" s="5" customFormat="1" ht="11.4">
      <c r="A2" s="25" t="s">
        <v>26</v>
      </c>
      <c r="B2" s="48"/>
      <c r="C2" s="48"/>
      <c r="E2" s="26"/>
      <c r="F2" s="26"/>
      <c r="G2" s="26"/>
      <c r="H2" s="46"/>
      <c r="I2" s="47"/>
      <c r="J2" s="6"/>
      <c r="K2" s="6"/>
      <c r="L2" s="47"/>
      <c r="M2" s="6"/>
      <c r="N2" s="46"/>
      <c r="O2" s="46"/>
      <c r="P2" s="6"/>
      <c r="R2" s="286"/>
    </row>
    <row r="3" spans="1:22">
      <c r="A3" s="137"/>
      <c r="H3" s="44"/>
      <c r="I3" s="45"/>
      <c r="J3" s="11"/>
      <c r="K3" s="11"/>
      <c r="L3" s="45"/>
      <c r="M3" s="11"/>
      <c r="N3" s="50"/>
      <c r="O3" s="44"/>
      <c r="P3" s="11"/>
      <c r="Q3" s="1"/>
      <c r="R3" s="287"/>
      <c r="S3" s="5"/>
      <c r="T3" s="5"/>
      <c r="U3" s="5"/>
      <c r="V3" s="5"/>
    </row>
    <row r="4" spans="1:22" s="5" customFormat="1">
      <c r="A4" s="31" t="s">
        <v>206</v>
      </c>
      <c r="B4" s="5" t="s">
        <v>208</v>
      </c>
      <c r="C4" s="5" t="s">
        <v>32</v>
      </c>
      <c r="D4" s="5" t="s">
        <v>37</v>
      </c>
      <c r="E4" s="5" t="s">
        <v>31</v>
      </c>
      <c r="F4" s="26" t="s">
        <v>49</v>
      </c>
      <c r="G4" s="26" t="s">
        <v>45</v>
      </c>
      <c r="H4" s="84" t="s">
        <v>23</v>
      </c>
      <c r="I4" s="32" t="s">
        <v>8</v>
      </c>
      <c r="J4" s="6" t="s">
        <v>14</v>
      </c>
      <c r="K4" s="6" t="s">
        <v>34</v>
      </c>
      <c r="L4" s="32" t="s">
        <v>4</v>
      </c>
      <c r="M4" s="6" t="s">
        <v>157</v>
      </c>
      <c r="N4" s="32" t="s">
        <v>27</v>
      </c>
      <c r="O4" s="32" t="s">
        <v>44</v>
      </c>
      <c r="P4" s="6" t="s">
        <v>22</v>
      </c>
      <c r="Q4" s="5" t="s">
        <v>172</v>
      </c>
      <c r="R4" s="30" t="s">
        <v>286</v>
      </c>
      <c r="S4" s="13"/>
      <c r="T4" s="13"/>
      <c r="U4" s="13"/>
      <c r="V4" s="13"/>
    </row>
    <row r="5" spans="1:22" s="5" customFormat="1">
      <c r="A5" s="31" t="s">
        <v>207</v>
      </c>
      <c r="B5" s="5" t="s">
        <v>207</v>
      </c>
      <c r="C5" s="5" t="s">
        <v>48</v>
      </c>
      <c r="D5" s="13"/>
      <c r="F5" s="26"/>
      <c r="G5" s="26"/>
      <c r="H5" s="84" t="s">
        <v>42</v>
      </c>
      <c r="I5" s="32" t="s">
        <v>42</v>
      </c>
      <c r="J5" s="6" t="s">
        <v>9</v>
      </c>
      <c r="K5" s="6" t="s">
        <v>18</v>
      </c>
      <c r="L5" s="32" t="s">
        <v>42</v>
      </c>
      <c r="M5" s="6" t="s">
        <v>18</v>
      </c>
      <c r="N5" s="32" t="s">
        <v>42</v>
      </c>
      <c r="O5" s="32" t="s">
        <v>42</v>
      </c>
      <c r="P5" s="6" t="s">
        <v>5</v>
      </c>
      <c r="Q5" s="5" t="s">
        <v>171</v>
      </c>
      <c r="R5" s="30" t="s">
        <v>287</v>
      </c>
      <c r="S5" s="13"/>
      <c r="T5" s="13"/>
      <c r="U5" s="13"/>
      <c r="V5" s="13"/>
    </row>
    <row r="6" spans="1:22" s="5" customFormat="1" ht="12.6" thickBot="1">
      <c r="A6" s="37"/>
      <c r="B6" s="33"/>
      <c r="C6" s="33" t="s">
        <v>173</v>
      </c>
      <c r="D6" s="38"/>
      <c r="E6" s="33"/>
      <c r="F6" s="39"/>
      <c r="G6" s="39"/>
      <c r="H6" s="130"/>
      <c r="I6" s="55"/>
      <c r="J6" s="40"/>
      <c r="K6" s="40"/>
      <c r="L6" s="55"/>
      <c r="M6" s="40"/>
      <c r="N6" s="55"/>
      <c r="O6" s="55"/>
      <c r="P6" s="40"/>
      <c r="Q6" s="38"/>
      <c r="R6" s="386" t="s">
        <v>9</v>
      </c>
      <c r="S6" s="13"/>
      <c r="T6" s="13"/>
      <c r="U6" s="13"/>
      <c r="V6" s="13"/>
    </row>
    <row r="7" spans="1:22">
      <c r="A7" s="13" t="s">
        <v>146</v>
      </c>
      <c r="B7" s="13" t="s">
        <v>146</v>
      </c>
      <c r="C7" s="13">
        <v>5319</v>
      </c>
      <c r="D7" s="13" t="s">
        <v>390</v>
      </c>
      <c r="E7" s="13" t="s">
        <v>656</v>
      </c>
      <c r="F7" s="36" t="s">
        <v>599</v>
      </c>
      <c r="G7" s="36" t="s">
        <v>81</v>
      </c>
      <c r="H7" s="425">
        <v>40000000</v>
      </c>
      <c r="I7" s="289">
        <f>H7</f>
        <v>40000000</v>
      </c>
      <c r="J7" s="11">
        <v>44223</v>
      </c>
      <c r="K7" s="11">
        <f>J7+35</f>
        <v>44258</v>
      </c>
      <c r="L7" s="289">
        <v>33000000</v>
      </c>
      <c r="M7" s="11">
        <f>J7+180</f>
        <v>44403</v>
      </c>
      <c r="N7" s="289">
        <v>0</v>
      </c>
      <c r="O7" s="289">
        <f>I7-N7</f>
        <v>40000000</v>
      </c>
      <c r="P7" s="11">
        <v>44348</v>
      </c>
      <c r="Q7" s="13" t="s">
        <v>272</v>
      </c>
      <c r="R7" s="93"/>
    </row>
    <row r="8" spans="1:22">
      <c r="F8" s="36"/>
      <c r="G8" s="36"/>
      <c r="H8" s="289"/>
      <c r="I8" s="289"/>
      <c r="J8" s="11"/>
      <c r="K8" s="11"/>
      <c r="L8" s="289"/>
      <c r="M8" s="11"/>
      <c r="N8" s="289"/>
      <c r="O8" s="289"/>
      <c r="P8" s="11"/>
      <c r="R8" s="93"/>
    </row>
    <row r="9" spans="1:22">
      <c r="F9" s="36"/>
      <c r="G9" s="36"/>
      <c r="H9" s="289"/>
      <c r="I9" s="289"/>
      <c r="J9" s="11"/>
      <c r="K9" s="11"/>
      <c r="L9" s="289"/>
      <c r="M9" s="11"/>
      <c r="N9" s="289"/>
      <c r="O9" s="289"/>
      <c r="P9" s="11"/>
      <c r="R9" s="93"/>
    </row>
    <row r="10" spans="1:22">
      <c r="F10" s="36"/>
      <c r="G10" s="36"/>
      <c r="H10" s="27"/>
      <c r="I10" s="27"/>
      <c r="J10" s="11"/>
      <c r="K10" s="11"/>
      <c r="L10" s="314"/>
      <c r="M10" s="11"/>
      <c r="N10" s="314"/>
      <c r="O10" s="314"/>
      <c r="P10" s="11"/>
      <c r="R10" s="43"/>
    </row>
    <row r="11" spans="1:22">
      <c r="A11" s="43"/>
      <c r="B11" s="43"/>
      <c r="C11" s="43"/>
      <c r="D11" s="43"/>
      <c r="E11" s="1"/>
      <c r="F11" s="13" t="s">
        <v>19</v>
      </c>
      <c r="H11" s="263">
        <f>SUM(H7:H10)</f>
        <v>40000000</v>
      </c>
      <c r="I11" s="263">
        <f>SUM(I7:I10)</f>
        <v>40000000</v>
      </c>
      <c r="J11" s="10"/>
      <c r="K11" s="10"/>
      <c r="L11" s="263">
        <f>SUM(L7:L10)</f>
        <v>33000000</v>
      </c>
      <c r="M11" s="10"/>
      <c r="N11" s="263">
        <f>SUM(N7:N10)</f>
        <v>0</v>
      </c>
      <c r="O11" s="263">
        <f>SUM(O7:O10)</f>
        <v>40000000</v>
      </c>
    </row>
    <row r="12" spans="1:22" s="1" customFormat="1">
      <c r="A12" s="5"/>
      <c r="B12" s="5"/>
      <c r="C12" s="5"/>
      <c r="D12" s="88"/>
      <c r="F12" s="13"/>
      <c r="H12" s="76"/>
      <c r="J12" s="11"/>
      <c r="K12" s="11"/>
      <c r="L12" s="9"/>
      <c r="M12" s="6"/>
      <c r="Q12" s="13"/>
    </row>
    <row r="13" spans="1:22" s="1" customFormat="1">
      <c r="A13" s="5"/>
      <c r="B13" s="5"/>
      <c r="C13" s="5"/>
      <c r="E13" s="5"/>
      <c r="F13" s="13" t="s">
        <v>43</v>
      </c>
      <c r="G13" s="5"/>
      <c r="H13" s="34">
        <f>H11-I11</f>
        <v>0</v>
      </c>
      <c r="I13" s="9"/>
      <c r="L13" s="83"/>
      <c r="M13" s="3"/>
      <c r="Q13" s="13"/>
    </row>
    <row r="14" spans="1:22" s="1" customFormat="1">
      <c r="A14" s="5"/>
      <c r="B14" s="5"/>
      <c r="C14" s="5"/>
      <c r="E14" s="5"/>
      <c r="G14" s="5"/>
      <c r="H14" s="67"/>
      <c r="I14" s="9"/>
      <c r="K14" s="138"/>
      <c r="L14" s="9"/>
      <c r="M14" s="3"/>
      <c r="N14" s="76"/>
      <c r="Q14" s="13"/>
    </row>
    <row r="15" spans="1:22" s="1" customFormat="1">
      <c r="A15" s="5"/>
      <c r="B15" s="5"/>
      <c r="C15" s="5"/>
      <c r="E15" s="133"/>
      <c r="F15" s="58" t="s">
        <v>75</v>
      </c>
      <c r="G15" s="5"/>
      <c r="H15" s="77">
        <f>E1-I11+O11+G18</f>
        <v>68488667</v>
      </c>
      <c r="I15" s="292"/>
      <c r="J15" s="138"/>
      <c r="L15" s="9"/>
      <c r="M15" s="138"/>
      <c r="Q15" s="13"/>
    </row>
    <row r="16" spans="1:22">
      <c r="H16" s="65"/>
    </row>
    <row r="17" spans="7:8">
      <c r="G17" s="10"/>
      <c r="H17" s="210"/>
    </row>
    <row r="18" spans="7:8">
      <c r="G18" s="351">
        <f>SUM(G17)</f>
        <v>0</v>
      </c>
      <c r="H18" s="66"/>
    </row>
    <row r="19" spans="7:8">
      <c r="H19" s="66"/>
    </row>
    <row r="20" spans="7:8">
      <c r="H20" s="65"/>
    </row>
    <row r="21" spans="7:8">
      <c r="H21" s="65"/>
    </row>
    <row r="22" spans="7:8">
      <c r="H22" s="65"/>
    </row>
    <row r="23" spans="7:8">
      <c r="H23" s="65"/>
    </row>
    <row r="24" spans="7:8">
      <c r="H24" s="65"/>
    </row>
    <row r="25" spans="7:8">
      <c r="H25" s="65"/>
    </row>
    <row r="26" spans="7:8">
      <c r="H26" s="65"/>
    </row>
    <row r="27" spans="7:8">
      <c r="H27" s="65"/>
    </row>
    <row r="28" spans="7:8">
      <c r="H28" s="65"/>
    </row>
  </sheetData>
  <phoneticPr fontId="0" type="noConversion"/>
  <pageMargins left="0.75" right="0.75" top="1" bottom="1" header="0.5" footer="0.5"/>
  <pageSetup scale="72" orientation="landscape" horizontalDpi="4294967292" verticalDpi="4294967292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4">
    <tabColor theme="0" tint="-0.499984740745262"/>
    <pageSetUpPr fitToPage="1"/>
  </sheetPr>
  <dimension ref="A1:V16"/>
  <sheetViews>
    <sheetView zoomScaleNormal="100" workbookViewId="0">
      <selection activeCell="H13" sqref="H13"/>
    </sheetView>
  </sheetViews>
  <sheetFormatPr defaultColWidth="10.875" defaultRowHeight="12"/>
  <cols>
    <col min="1" max="1" width="9.75" style="13" customWidth="1"/>
    <col min="2" max="2" width="7.125" style="13" bestFit="1" customWidth="1"/>
    <col min="3" max="3" width="10.125" style="13" bestFit="1" customWidth="1"/>
    <col min="4" max="4" width="8.625" style="13" bestFit="1" customWidth="1"/>
    <col min="5" max="5" width="26.375" style="13" customWidth="1"/>
    <col min="6" max="6" width="33.25" style="13" customWidth="1"/>
    <col min="7" max="7" width="11.25" style="13" bestFit="1" customWidth="1"/>
    <col min="8" max="8" width="13.875" style="12" bestFit="1" customWidth="1"/>
    <col min="9" max="9" width="12.75" style="35" bestFit="1" customWidth="1"/>
    <col min="10" max="10" width="15.25" style="13" bestFit="1" customWidth="1"/>
    <col min="11" max="11" width="10.875" style="13" bestFit="1" customWidth="1"/>
    <col min="12" max="12" width="12.625" style="35" bestFit="1" customWidth="1"/>
    <col min="13" max="13" width="10.875" style="13" bestFit="1" customWidth="1"/>
    <col min="14" max="14" width="15.25" style="12" bestFit="1" customWidth="1"/>
    <col min="15" max="15" width="12.25" style="12" bestFit="1" customWidth="1"/>
    <col min="16" max="16" width="10.625" style="13" bestFit="1" customWidth="1"/>
    <col min="17" max="17" width="10.25" style="13" bestFit="1" customWidth="1"/>
    <col min="18" max="18" width="35.25" style="13" bestFit="1" customWidth="1"/>
    <col min="19" max="16384" width="10.875" style="13"/>
  </cols>
  <sheetData>
    <row r="1" spans="1:22" s="17" customFormat="1" ht="11.4">
      <c r="A1" s="16" t="s">
        <v>12</v>
      </c>
      <c r="B1" s="291"/>
      <c r="C1" s="291"/>
      <c r="E1" s="382">
        <f>ROUND(Totals!$H$8*Totals!$P$17, 0)</f>
        <v>19898908</v>
      </c>
      <c r="F1" s="18"/>
      <c r="G1" s="18"/>
      <c r="H1" s="332"/>
      <c r="I1" s="333"/>
      <c r="J1" s="284"/>
      <c r="K1" s="284"/>
      <c r="L1" s="333"/>
      <c r="M1" s="284"/>
      <c r="N1" s="332"/>
      <c r="O1" s="332"/>
      <c r="P1" s="284"/>
      <c r="R1" s="285"/>
      <c r="S1" s="5"/>
      <c r="T1" s="5"/>
      <c r="U1" s="5"/>
      <c r="V1" s="5"/>
    </row>
    <row r="2" spans="1:22" s="5" customFormat="1" ht="11.4">
      <c r="A2" s="25" t="s">
        <v>41</v>
      </c>
      <c r="B2" s="48"/>
      <c r="C2" s="48"/>
      <c r="E2" s="26"/>
      <c r="F2" s="26"/>
      <c r="G2" s="26"/>
      <c r="H2" s="46"/>
      <c r="I2" s="47"/>
      <c r="J2" s="6"/>
      <c r="K2" s="6"/>
      <c r="L2" s="47"/>
      <c r="M2" s="6"/>
      <c r="N2" s="46"/>
      <c r="O2" s="46"/>
      <c r="P2" s="6"/>
      <c r="R2" s="286"/>
    </row>
    <row r="3" spans="1:22">
      <c r="A3" s="137"/>
      <c r="H3" s="44"/>
      <c r="I3" s="45"/>
      <c r="J3" s="11"/>
      <c r="K3" s="11"/>
      <c r="L3" s="45"/>
      <c r="M3" s="11"/>
      <c r="N3" s="44"/>
      <c r="O3" s="44"/>
      <c r="P3" s="11"/>
      <c r="Q3" s="1"/>
      <c r="R3" s="287"/>
    </row>
    <row r="4" spans="1:22" s="5" customFormat="1">
      <c r="A4" s="31" t="s">
        <v>206</v>
      </c>
      <c r="B4" s="5" t="s">
        <v>208</v>
      </c>
      <c r="C4" s="5" t="s">
        <v>32</v>
      </c>
      <c r="D4" s="5" t="s">
        <v>37</v>
      </c>
      <c r="E4" s="5" t="s">
        <v>31</v>
      </c>
      <c r="F4" s="26" t="s">
        <v>49</v>
      </c>
      <c r="G4" s="26" t="s">
        <v>45</v>
      </c>
      <c r="H4" s="84" t="s">
        <v>23</v>
      </c>
      <c r="I4" s="32" t="s">
        <v>8</v>
      </c>
      <c r="J4" s="6" t="s">
        <v>14</v>
      </c>
      <c r="K4" s="6" t="s">
        <v>34</v>
      </c>
      <c r="L4" s="32" t="s">
        <v>4</v>
      </c>
      <c r="M4" s="6" t="s">
        <v>157</v>
      </c>
      <c r="N4" s="32" t="s">
        <v>27</v>
      </c>
      <c r="O4" s="32" t="s">
        <v>44</v>
      </c>
      <c r="P4" s="6" t="s">
        <v>22</v>
      </c>
      <c r="Q4" s="5" t="s">
        <v>172</v>
      </c>
      <c r="R4" s="30" t="s">
        <v>286</v>
      </c>
      <c r="S4" s="13"/>
      <c r="T4" s="13"/>
      <c r="U4" s="13"/>
      <c r="V4" s="13"/>
    </row>
    <row r="5" spans="1:22" s="5" customFormat="1">
      <c r="A5" s="31" t="s">
        <v>207</v>
      </c>
      <c r="B5" s="5" t="s">
        <v>207</v>
      </c>
      <c r="C5" s="5" t="s">
        <v>48</v>
      </c>
      <c r="D5" s="13"/>
      <c r="F5" s="26"/>
      <c r="G5" s="26"/>
      <c r="H5" s="84" t="s">
        <v>42</v>
      </c>
      <c r="I5" s="32" t="s">
        <v>42</v>
      </c>
      <c r="J5" s="6" t="s">
        <v>9</v>
      </c>
      <c r="K5" s="6" t="s">
        <v>18</v>
      </c>
      <c r="L5" s="32" t="s">
        <v>42</v>
      </c>
      <c r="M5" s="6" t="s">
        <v>18</v>
      </c>
      <c r="N5" s="32" t="s">
        <v>42</v>
      </c>
      <c r="O5" s="32" t="s">
        <v>42</v>
      </c>
      <c r="P5" s="6" t="s">
        <v>5</v>
      </c>
      <c r="Q5" s="5" t="s">
        <v>171</v>
      </c>
      <c r="R5" s="30" t="s">
        <v>287</v>
      </c>
      <c r="S5" s="13"/>
      <c r="T5" s="13"/>
      <c r="U5" s="13"/>
      <c r="V5" s="13"/>
    </row>
    <row r="6" spans="1:22" s="5" customFormat="1" ht="12.6" thickBot="1">
      <c r="A6" s="37"/>
      <c r="B6" s="33"/>
      <c r="C6" s="33" t="s">
        <v>173</v>
      </c>
      <c r="D6" s="38"/>
      <c r="E6" s="33"/>
      <c r="F6" s="39"/>
      <c r="G6" s="39"/>
      <c r="H6" s="130"/>
      <c r="I6" s="55"/>
      <c r="J6" s="40"/>
      <c r="K6" s="40"/>
      <c r="L6" s="55"/>
      <c r="M6" s="40"/>
      <c r="N6" s="55"/>
      <c r="O6" s="55"/>
      <c r="P6" s="40"/>
      <c r="Q6" s="38"/>
      <c r="R6" s="386" t="s">
        <v>9</v>
      </c>
      <c r="S6" s="13"/>
      <c r="T6" s="13"/>
      <c r="U6" s="13"/>
      <c r="V6" s="13"/>
    </row>
    <row r="7" spans="1:22">
      <c r="F7" s="36"/>
      <c r="G7" s="36"/>
      <c r="H7" s="289"/>
      <c r="I7" s="289"/>
      <c r="J7" s="11"/>
      <c r="K7" s="11"/>
      <c r="L7" s="314"/>
      <c r="M7" s="11"/>
      <c r="N7" s="289"/>
      <c r="O7" s="289"/>
      <c r="P7" s="11"/>
      <c r="R7" s="43"/>
    </row>
    <row r="8" spans="1:22">
      <c r="F8" s="36"/>
      <c r="G8" s="36"/>
      <c r="H8" s="289"/>
      <c r="I8" s="289"/>
      <c r="J8" s="11"/>
      <c r="K8" s="11"/>
      <c r="L8" s="314"/>
      <c r="M8" s="11"/>
      <c r="N8" s="289"/>
      <c r="O8" s="289"/>
      <c r="P8" s="11"/>
      <c r="R8" s="43"/>
    </row>
    <row r="9" spans="1:22">
      <c r="A9" s="43"/>
      <c r="B9" s="43"/>
      <c r="C9" s="43"/>
      <c r="D9" s="43"/>
      <c r="E9" s="1"/>
      <c r="F9" s="13" t="s">
        <v>19</v>
      </c>
      <c r="H9" s="263">
        <f>SUM(H7:H8)</f>
        <v>0</v>
      </c>
      <c r="I9" s="263">
        <f>SUM(I7:I8)</f>
        <v>0</v>
      </c>
      <c r="J9" s="10"/>
      <c r="K9" s="10"/>
      <c r="L9" s="263">
        <f>SUM(L7:L8)</f>
        <v>0</v>
      </c>
      <c r="M9" s="10"/>
      <c r="N9" s="263">
        <f t="shared" ref="N9:O9" si="0">SUM(N7:N8)</f>
        <v>0</v>
      </c>
      <c r="O9" s="263">
        <f t="shared" si="0"/>
        <v>0</v>
      </c>
    </row>
    <row r="10" spans="1:22" s="1" customFormat="1">
      <c r="A10" s="5"/>
      <c r="B10" s="5"/>
      <c r="C10" s="5"/>
      <c r="D10" s="88"/>
      <c r="F10" s="13"/>
      <c r="H10" s="76"/>
      <c r="J10" s="11"/>
      <c r="K10" s="11"/>
      <c r="L10" s="9"/>
      <c r="M10" s="6"/>
      <c r="Q10" s="13"/>
    </row>
    <row r="11" spans="1:22" s="1" customFormat="1">
      <c r="A11" s="5"/>
      <c r="B11" s="5"/>
      <c r="C11" s="5"/>
      <c r="E11" s="5"/>
      <c r="F11" s="13" t="s">
        <v>43</v>
      </c>
      <c r="G11" s="5"/>
      <c r="H11" s="34">
        <f>H9-I9</f>
        <v>0</v>
      </c>
      <c r="I11" s="9"/>
      <c r="L11" s="9"/>
      <c r="M11" s="3"/>
      <c r="Q11" s="13"/>
    </row>
    <row r="12" spans="1:22" s="1" customFormat="1">
      <c r="A12" s="5"/>
      <c r="B12" s="5"/>
      <c r="C12" s="5"/>
      <c r="E12" s="5"/>
      <c r="G12" s="5"/>
      <c r="H12" s="67"/>
      <c r="I12" s="9"/>
      <c r="K12" s="138"/>
      <c r="L12" s="9"/>
      <c r="M12" s="3"/>
      <c r="N12" s="76"/>
      <c r="Q12" s="13"/>
    </row>
    <row r="13" spans="1:22" s="1" customFormat="1">
      <c r="A13" s="5"/>
      <c r="B13" s="5"/>
      <c r="C13" s="5"/>
      <c r="E13" s="133"/>
      <c r="F13" s="58" t="s">
        <v>75</v>
      </c>
      <c r="G13" s="5"/>
      <c r="H13" s="77">
        <f>E1-I9+O9+G16</f>
        <v>19898908</v>
      </c>
      <c r="I13" s="292"/>
      <c r="J13" s="138"/>
      <c r="L13" s="9"/>
      <c r="M13" s="138"/>
      <c r="Q13" s="13"/>
    </row>
    <row r="14" spans="1:22">
      <c r="H14" s="65"/>
      <c r="N14" s="51"/>
    </row>
    <row r="15" spans="1:22">
      <c r="G15" s="10"/>
      <c r="H15" s="66"/>
      <c r="N15" s="51"/>
    </row>
    <row r="16" spans="1:22">
      <c r="G16" s="351">
        <f>SUM(G15)</f>
        <v>0</v>
      </c>
      <c r="H16" s="66"/>
      <c r="N16" s="51"/>
    </row>
  </sheetData>
  <phoneticPr fontId="0" type="noConversion"/>
  <pageMargins left="0.75" right="0.75" top="1" bottom="1" header="0.5" footer="0.5"/>
  <pageSetup scale="50" orientation="landscape" horizontalDpi="4294967292" verticalDpi="4294967292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F642D0-1824-42F3-94DA-B32DCF44B0A3}">
  <dimension ref="A1:T52"/>
  <sheetViews>
    <sheetView workbookViewId="0">
      <selection activeCell="F18" sqref="F18"/>
    </sheetView>
  </sheetViews>
  <sheetFormatPr defaultRowHeight="11.4"/>
  <cols>
    <col min="1" max="1" width="15.125" bestFit="1" customWidth="1"/>
    <col min="2" max="2" width="13.25" customWidth="1"/>
    <col min="3" max="3" width="40" bestFit="1" customWidth="1"/>
    <col min="4" max="4" width="37.125" bestFit="1" customWidth="1"/>
    <col min="5" max="5" width="12.125" bestFit="1" customWidth="1"/>
    <col min="6" max="7" width="15.75" bestFit="1" customWidth="1"/>
    <col min="8" max="8" width="15.25" bestFit="1" customWidth="1"/>
    <col min="9" max="9" width="11.875" bestFit="1" customWidth="1"/>
    <col min="10" max="10" width="15.75" bestFit="1" customWidth="1"/>
    <col min="11" max="11" width="11.875" bestFit="1" customWidth="1"/>
    <col min="12" max="12" width="17.625" bestFit="1" customWidth="1"/>
    <col min="13" max="13" width="21.625" bestFit="1" customWidth="1"/>
    <col min="14" max="14" width="11" bestFit="1" customWidth="1"/>
    <col min="15" max="16" width="9.125" customWidth="1"/>
    <col min="17" max="17" width="12.25" bestFit="1" customWidth="1"/>
    <col min="18" max="18" width="9.125" customWidth="1"/>
    <col min="20" max="20" width="26.75" bestFit="1" customWidth="1"/>
  </cols>
  <sheetData>
    <row r="1" spans="1:20" ht="13.2">
      <c r="A1" s="159"/>
      <c r="B1" s="159" t="s">
        <v>445</v>
      </c>
      <c r="C1" s="160"/>
      <c r="D1" s="161"/>
      <c r="E1" s="163"/>
      <c r="F1" s="173"/>
      <c r="G1" s="173"/>
      <c r="H1" s="174"/>
      <c r="I1" s="174"/>
      <c r="J1" s="175"/>
      <c r="K1" s="174"/>
      <c r="L1" s="173"/>
      <c r="M1" s="174"/>
      <c r="N1" s="370"/>
      <c r="O1" s="370"/>
      <c r="P1" s="370"/>
      <c r="Q1" s="272"/>
      <c r="T1" s="341" t="s">
        <v>89</v>
      </c>
    </row>
    <row r="2" spans="1:20" ht="13.2">
      <c r="A2" s="153" t="s">
        <v>32</v>
      </c>
      <c r="B2" s="273" t="s">
        <v>37</v>
      </c>
      <c r="C2" s="274" t="s">
        <v>31</v>
      </c>
      <c r="D2" s="275" t="s">
        <v>49</v>
      </c>
      <c r="E2" s="275" t="s">
        <v>45</v>
      </c>
      <c r="F2" s="176" t="s">
        <v>84</v>
      </c>
      <c r="G2" s="176" t="s">
        <v>85</v>
      </c>
      <c r="H2" s="276" t="s">
        <v>96</v>
      </c>
      <c r="I2" s="276" t="s">
        <v>86</v>
      </c>
      <c r="J2" s="177" t="s">
        <v>87</v>
      </c>
      <c r="K2" s="276"/>
      <c r="L2" s="176" t="s">
        <v>88</v>
      </c>
      <c r="M2" s="277" t="s">
        <v>89</v>
      </c>
      <c r="N2" s="371" t="s">
        <v>22</v>
      </c>
      <c r="O2" s="373" t="s">
        <v>172</v>
      </c>
      <c r="P2" s="373" t="s">
        <v>252</v>
      </c>
      <c r="Q2" s="374" t="s">
        <v>254</v>
      </c>
      <c r="T2" s="342" t="s">
        <v>90</v>
      </c>
    </row>
    <row r="3" spans="1:20" ht="13.2">
      <c r="A3" s="153" t="s">
        <v>48</v>
      </c>
      <c r="B3" s="279"/>
      <c r="C3" s="274"/>
      <c r="D3" s="275"/>
      <c r="E3" s="275"/>
      <c r="F3" s="176" t="s">
        <v>55</v>
      </c>
      <c r="G3" s="176" t="s">
        <v>55</v>
      </c>
      <c r="H3" s="276" t="s">
        <v>9</v>
      </c>
      <c r="I3" s="276" t="s">
        <v>18</v>
      </c>
      <c r="J3" s="177" t="s">
        <v>55</v>
      </c>
      <c r="K3" s="276" t="s">
        <v>18</v>
      </c>
      <c r="L3" s="176" t="s">
        <v>55</v>
      </c>
      <c r="M3" s="277" t="s">
        <v>90</v>
      </c>
      <c r="N3" s="371" t="s">
        <v>5</v>
      </c>
      <c r="O3" s="373" t="s">
        <v>171</v>
      </c>
      <c r="P3" s="373" t="s">
        <v>253</v>
      </c>
      <c r="Q3" s="374" t="s">
        <v>255</v>
      </c>
      <c r="T3" s="342" t="s">
        <v>237</v>
      </c>
    </row>
    <row r="4" spans="1:20" ht="13.8" thickBot="1">
      <c r="A4" s="154" t="s">
        <v>17</v>
      </c>
      <c r="B4" s="155"/>
      <c r="C4" s="156"/>
      <c r="D4" s="157"/>
      <c r="E4" s="157"/>
      <c r="F4" s="178"/>
      <c r="G4" s="178"/>
      <c r="H4" s="179"/>
      <c r="I4" s="179"/>
      <c r="J4" s="180"/>
      <c r="K4" s="179"/>
      <c r="L4" s="178"/>
      <c r="M4" s="178"/>
      <c r="N4" s="372" t="s">
        <v>9</v>
      </c>
      <c r="O4" s="372"/>
      <c r="P4" s="372"/>
      <c r="Q4" s="375" t="s">
        <v>9</v>
      </c>
      <c r="T4" s="343" t="s">
        <v>327</v>
      </c>
    </row>
    <row r="5" spans="1:20">
      <c r="A5" s="31" t="s">
        <v>259</v>
      </c>
    </row>
    <row r="6" spans="1:20">
      <c r="A6" s="31"/>
      <c r="H6" s="200"/>
      <c r="K6" s="200"/>
    </row>
    <row r="7" spans="1:20" ht="12.75" customHeight="1">
      <c r="A7" s="31" t="s">
        <v>149</v>
      </c>
      <c r="H7" s="200"/>
      <c r="K7" s="200"/>
    </row>
    <row r="8" spans="1:20" s="1" customFormat="1" ht="12">
      <c r="A8" s="137" t="s">
        <v>620</v>
      </c>
      <c r="B8" s="1" t="s">
        <v>43</v>
      </c>
      <c r="C8" s="1" t="s">
        <v>221</v>
      </c>
      <c r="D8" s="1" t="s">
        <v>622</v>
      </c>
      <c r="E8" s="1" t="s">
        <v>79</v>
      </c>
      <c r="F8" s="9">
        <v>50000000</v>
      </c>
      <c r="G8" s="9"/>
      <c r="H8" s="3"/>
      <c r="I8" s="3"/>
      <c r="J8" s="9"/>
      <c r="L8" s="9"/>
      <c r="M8" s="9"/>
      <c r="O8" s="13">
        <v>3</v>
      </c>
      <c r="P8" s="13">
        <v>240</v>
      </c>
      <c r="Q8" s="11">
        <v>44197</v>
      </c>
    </row>
    <row r="9" spans="1:20" s="1" customFormat="1" ht="12">
      <c r="A9" s="137" t="s">
        <v>621</v>
      </c>
      <c r="B9" s="1" t="s">
        <v>43</v>
      </c>
      <c r="C9" s="1" t="s">
        <v>153</v>
      </c>
      <c r="D9" s="1" t="s">
        <v>428</v>
      </c>
      <c r="E9" s="1" t="s">
        <v>81</v>
      </c>
      <c r="F9" s="9">
        <v>50000000</v>
      </c>
      <c r="G9" s="9"/>
      <c r="H9" s="3"/>
      <c r="I9" s="3"/>
      <c r="J9" s="9"/>
      <c r="L9" s="9"/>
      <c r="M9" s="9"/>
      <c r="O9" s="13">
        <v>3</v>
      </c>
      <c r="P9" s="13">
        <v>348</v>
      </c>
      <c r="Q9" s="11">
        <v>44197</v>
      </c>
    </row>
    <row r="10" spans="1:20" s="1" customFormat="1" ht="12">
      <c r="A10" s="137" t="s">
        <v>766</v>
      </c>
      <c r="B10" s="1" t="s">
        <v>43</v>
      </c>
      <c r="C10" s="1" t="s">
        <v>573</v>
      </c>
      <c r="D10" s="1" t="s">
        <v>611</v>
      </c>
      <c r="E10" s="1" t="s">
        <v>95</v>
      </c>
      <c r="F10" s="9">
        <v>63000000</v>
      </c>
      <c r="G10" s="9"/>
      <c r="H10" s="3"/>
      <c r="I10" s="3"/>
      <c r="J10" s="9"/>
      <c r="L10" s="9"/>
      <c r="M10" s="9"/>
      <c r="O10" s="13">
        <v>3</v>
      </c>
      <c r="P10" s="13">
        <v>194</v>
      </c>
      <c r="Q10" s="11">
        <v>44355</v>
      </c>
    </row>
    <row r="11" spans="1:20" s="1" customFormat="1" ht="12">
      <c r="A11" s="137" t="s">
        <v>783</v>
      </c>
      <c r="B11" s="1" t="s">
        <v>43</v>
      </c>
      <c r="C11" s="1" t="s">
        <v>221</v>
      </c>
      <c r="D11" s="1" t="s">
        <v>400</v>
      </c>
      <c r="E11" s="1" t="s">
        <v>79</v>
      </c>
      <c r="F11" s="9">
        <v>50000000</v>
      </c>
      <c r="G11" s="9"/>
      <c r="H11" s="3"/>
      <c r="I11" s="3"/>
      <c r="J11" s="9"/>
      <c r="L11" s="9"/>
      <c r="M11" s="9"/>
      <c r="O11" s="13">
        <v>3</v>
      </c>
      <c r="P11" s="13">
        <v>199</v>
      </c>
      <c r="Q11" s="11">
        <v>44372</v>
      </c>
    </row>
    <row r="12" spans="1:20" s="1" customFormat="1" ht="12">
      <c r="A12" s="137"/>
      <c r="F12" s="9"/>
      <c r="G12" s="9"/>
      <c r="H12" s="3"/>
      <c r="I12" s="3"/>
      <c r="J12" s="9"/>
      <c r="L12" s="9"/>
      <c r="M12" s="9"/>
    </row>
    <row r="13" spans="1:20" ht="12">
      <c r="A13" s="31" t="s">
        <v>91</v>
      </c>
      <c r="D13" s="1"/>
      <c r="H13" s="200"/>
    </row>
    <row r="14" spans="1:20" ht="12">
      <c r="A14" s="137"/>
      <c r="B14" s="1"/>
      <c r="C14" s="1"/>
      <c r="D14" s="1"/>
      <c r="E14" s="1"/>
      <c r="F14" s="9"/>
      <c r="H14" s="200"/>
      <c r="K14" s="200"/>
    </row>
    <row r="15" spans="1:20" ht="12">
      <c r="F15" s="194">
        <f>SUM(F6:F14)</f>
        <v>213000000</v>
      </c>
      <c r="G15" s="194">
        <f>SUM(G6:G14)</f>
        <v>0</v>
      </c>
      <c r="H15" s="133"/>
      <c r="I15" s="152"/>
      <c r="J15" s="194">
        <f>SUM(J6:J14)</f>
        <v>0</v>
      </c>
      <c r="K15" s="133"/>
      <c r="L15" s="194">
        <f>SUM(L6:L14)</f>
        <v>0</v>
      </c>
      <c r="M15" s="194">
        <f>SUM(M6:M14)</f>
        <v>0</v>
      </c>
    </row>
    <row r="16" spans="1:20">
      <c r="H16" s="200"/>
      <c r="I16" s="200"/>
    </row>
    <row r="17" spans="1:20" ht="12" thickBot="1">
      <c r="G17" s="198"/>
      <c r="H17" s="200"/>
      <c r="I17" s="200"/>
    </row>
    <row r="18" spans="1:20" ht="12.6" thickBot="1">
      <c r="D18" s="196" t="s">
        <v>154</v>
      </c>
      <c r="E18" s="197"/>
      <c r="F18" s="466"/>
      <c r="H18" s="426"/>
      <c r="I18" s="200"/>
      <c r="T18" s="329"/>
    </row>
    <row r="19" spans="1:20">
      <c r="F19" s="193"/>
      <c r="H19" s="200"/>
      <c r="I19" s="200"/>
    </row>
    <row r="20" spans="1:20" ht="12" thickBot="1">
      <c r="F20" s="198"/>
    </row>
    <row r="21" spans="1:20" ht="13.2">
      <c r="A21" s="159"/>
      <c r="B21" s="159" t="s">
        <v>446</v>
      </c>
      <c r="C21" s="131"/>
      <c r="D21" s="131"/>
      <c r="E21" s="131"/>
      <c r="F21" s="181"/>
      <c r="G21" s="181"/>
      <c r="H21" s="181"/>
      <c r="I21" s="181"/>
      <c r="J21" s="181"/>
      <c r="K21" s="181"/>
      <c r="L21" s="181"/>
      <c r="M21" s="181"/>
      <c r="N21" s="281"/>
    </row>
    <row r="22" spans="1:20" ht="13.2">
      <c r="A22" s="153" t="s">
        <v>32</v>
      </c>
      <c r="B22" s="273" t="s">
        <v>37</v>
      </c>
      <c r="C22" s="274" t="s">
        <v>31</v>
      </c>
      <c r="D22" s="282" t="s">
        <v>49</v>
      </c>
      <c r="E22" s="282"/>
      <c r="F22" s="176" t="s">
        <v>84</v>
      </c>
      <c r="G22" s="176" t="s">
        <v>258</v>
      </c>
      <c r="H22" s="276" t="s">
        <v>258</v>
      </c>
      <c r="I22" s="276"/>
      <c r="J22" s="177"/>
      <c r="K22" s="276"/>
      <c r="L22" s="176" t="s">
        <v>88</v>
      </c>
      <c r="M22" s="277" t="s">
        <v>89</v>
      </c>
      <c r="N22" s="376" t="s">
        <v>22</v>
      </c>
    </row>
    <row r="23" spans="1:20" ht="13.2">
      <c r="A23" s="153" t="s">
        <v>48</v>
      </c>
      <c r="B23" s="279"/>
      <c r="C23" s="274"/>
      <c r="D23" s="282"/>
      <c r="E23" s="282"/>
      <c r="F23" s="176" t="s">
        <v>55</v>
      </c>
      <c r="G23" s="176" t="s">
        <v>55</v>
      </c>
      <c r="H23" s="276" t="s">
        <v>9</v>
      </c>
      <c r="I23" s="276"/>
      <c r="J23" s="177"/>
      <c r="K23" s="276" t="s">
        <v>18</v>
      </c>
      <c r="L23" s="176" t="s">
        <v>55</v>
      </c>
      <c r="M23" s="277" t="s">
        <v>90</v>
      </c>
      <c r="N23" s="376" t="s">
        <v>5</v>
      </c>
    </row>
    <row r="24" spans="1:20" ht="13.8" thickBot="1">
      <c r="A24" s="154" t="s">
        <v>17</v>
      </c>
      <c r="B24" s="155"/>
      <c r="C24" s="156"/>
      <c r="D24" s="158"/>
      <c r="E24" s="158"/>
      <c r="F24" s="178"/>
      <c r="G24" s="178"/>
      <c r="H24" s="179"/>
      <c r="I24" s="179"/>
      <c r="J24" s="182"/>
      <c r="K24" s="179"/>
      <c r="L24" s="178"/>
      <c r="M24" s="178"/>
      <c r="N24" s="377" t="s">
        <v>9</v>
      </c>
    </row>
    <row r="25" spans="1:20" s="1" customFormat="1" ht="12">
      <c r="A25" s="137"/>
      <c r="F25" s="9"/>
      <c r="G25" s="9"/>
      <c r="H25" s="3"/>
      <c r="J25" s="9"/>
      <c r="L25" s="9"/>
      <c r="M25" s="9"/>
      <c r="O25" s="13"/>
      <c r="P25" s="13"/>
      <c r="Q25" s="11"/>
    </row>
    <row r="26" spans="1:20" ht="12" thickBot="1"/>
    <row r="27" spans="1:20" ht="12.6" thickBot="1">
      <c r="D27" s="196" t="s">
        <v>257</v>
      </c>
      <c r="E27" s="197"/>
      <c r="F27" s="199"/>
    </row>
    <row r="28" spans="1:20">
      <c r="F28" s="328"/>
    </row>
    <row r="29" spans="1:20" ht="12" thickBot="1"/>
    <row r="30" spans="1:20" ht="12" customHeight="1">
      <c r="A30" s="159"/>
      <c r="B30" s="159" t="s">
        <v>447</v>
      </c>
      <c r="C30" s="131"/>
      <c r="D30" s="131"/>
      <c r="E30" s="131"/>
      <c r="F30" s="181"/>
      <c r="G30" s="181"/>
      <c r="H30" s="181"/>
      <c r="I30" s="181"/>
      <c r="J30" s="181"/>
      <c r="K30" s="181"/>
      <c r="L30" s="181"/>
      <c r="M30" s="181"/>
      <c r="N30" s="281"/>
    </row>
    <row r="31" spans="1:20" ht="13.2">
      <c r="A31" s="153" t="s">
        <v>32</v>
      </c>
      <c r="B31" s="273" t="s">
        <v>37</v>
      </c>
      <c r="C31" s="274" t="s">
        <v>31</v>
      </c>
      <c r="D31" s="282" t="s">
        <v>49</v>
      </c>
      <c r="E31" s="282" t="s">
        <v>45</v>
      </c>
      <c r="F31" s="176" t="s">
        <v>84</v>
      </c>
      <c r="G31" s="176" t="s">
        <v>54</v>
      </c>
      <c r="H31" s="276"/>
      <c r="I31" s="276" t="s">
        <v>34</v>
      </c>
      <c r="J31" s="177" t="s">
        <v>87</v>
      </c>
      <c r="K31" s="276"/>
      <c r="L31" s="176" t="s">
        <v>92</v>
      </c>
      <c r="M31" s="277" t="s">
        <v>89</v>
      </c>
      <c r="N31" s="278" t="s">
        <v>22</v>
      </c>
    </row>
    <row r="32" spans="1:20" ht="13.2">
      <c r="A32" s="153" t="s">
        <v>48</v>
      </c>
      <c r="B32" s="279"/>
      <c r="C32" s="274"/>
      <c r="D32" s="282"/>
      <c r="E32" s="282"/>
      <c r="F32" s="176" t="s">
        <v>55</v>
      </c>
      <c r="G32" s="176" t="s">
        <v>55</v>
      </c>
      <c r="H32" s="276" t="s">
        <v>9</v>
      </c>
      <c r="I32" s="276" t="s">
        <v>18</v>
      </c>
      <c r="J32" s="177" t="s">
        <v>55</v>
      </c>
      <c r="K32" s="276" t="s">
        <v>18</v>
      </c>
      <c r="L32" s="176" t="s">
        <v>55</v>
      </c>
      <c r="M32" s="277" t="s">
        <v>90</v>
      </c>
      <c r="N32" s="278" t="s">
        <v>5</v>
      </c>
    </row>
    <row r="33" spans="1:20" ht="13.8" thickBot="1">
      <c r="A33" s="154" t="s">
        <v>17</v>
      </c>
      <c r="B33" s="155"/>
      <c r="C33" s="156"/>
      <c r="D33" s="158"/>
      <c r="E33" s="158"/>
      <c r="F33" s="178"/>
      <c r="G33" s="178"/>
      <c r="H33" s="179"/>
      <c r="I33" s="179"/>
      <c r="J33" s="182"/>
      <c r="K33" s="179"/>
      <c r="L33" s="178"/>
      <c r="M33" s="183" t="s">
        <v>93</v>
      </c>
      <c r="N33" s="280" t="s">
        <v>9</v>
      </c>
    </row>
    <row r="34" spans="1:20">
      <c r="A34" s="162" t="s">
        <v>56</v>
      </c>
    </row>
    <row r="35" spans="1:20" ht="12">
      <c r="A35" s="13"/>
      <c r="B35" s="13"/>
      <c r="C35" s="13"/>
      <c r="D35" s="13"/>
      <c r="E35" s="13"/>
      <c r="F35" s="289"/>
      <c r="G35" s="185"/>
      <c r="H35" s="185"/>
      <c r="I35" s="185"/>
      <c r="J35" s="185"/>
      <c r="K35" s="185"/>
      <c r="M35" s="204"/>
      <c r="N35" s="152"/>
    </row>
    <row r="36" spans="1:20" ht="12">
      <c r="F36" s="185"/>
      <c r="G36" s="185"/>
      <c r="H36" s="185"/>
      <c r="I36" s="185"/>
      <c r="J36" s="194">
        <f>SUM(J35:J35)</f>
        <v>0</v>
      </c>
      <c r="K36" s="416"/>
      <c r="L36" s="194">
        <f>SUM(L35:L35)</f>
        <v>0</v>
      </c>
      <c r="M36" s="194">
        <f>SUM(M35:M35)</f>
        <v>0</v>
      </c>
      <c r="N36" s="152"/>
      <c r="T36" s="329">
        <f>SUM(T35:T35)</f>
        <v>0</v>
      </c>
    </row>
    <row r="37" spans="1:20" ht="12.6" thickBot="1">
      <c r="F37" s="185"/>
      <c r="G37" s="185"/>
      <c r="H37" s="185"/>
      <c r="I37" s="185"/>
      <c r="J37" s="185"/>
      <c r="K37" s="185"/>
      <c r="N37" s="152"/>
    </row>
    <row r="38" spans="1:20" ht="12">
      <c r="A38" s="169" t="s">
        <v>94</v>
      </c>
      <c r="F38" s="185"/>
      <c r="G38" s="188"/>
      <c r="H38" s="152"/>
      <c r="I38" s="185"/>
      <c r="J38" s="185"/>
      <c r="K38" s="290"/>
      <c r="N38" s="152"/>
    </row>
    <row r="39" spans="1:20" s="186" customFormat="1" ht="12">
      <c r="A39" s="13"/>
      <c r="B39" s="13"/>
      <c r="C39" s="13"/>
      <c r="D39" s="36"/>
      <c r="E39" s="36"/>
      <c r="F39" s="289"/>
      <c r="G39" s="124"/>
      <c r="H39" s="7"/>
      <c r="I39" s="184"/>
      <c r="J39" s="124"/>
      <c r="K39" s="184"/>
      <c r="L39" s="32"/>
      <c r="M39" s="124"/>
      <c r="N39" s="184"/>
      <c r="T39" s="62"/>
    </row>
    <row r="40" spans="1:20" ht="12">
      <c r="A40" s="5"/>
      <c r="B40" s="5"/>
      <c r="C40" s="5"/>
      <c r="D40" s="26"/>
      <c r="E40" s="26"/>
      <c r="F40" s="349"/>
      <c r="G40" s="71"/>
      <c r="H40" s="3"/>
      <c r="I40" s="3"/>
      <c r="J40" s="77">
        <f>SUM(J39:J39)</f>
        <v>0</v>
      </c>
      <c r="K40" s="7"/>
      <c r="L40" s="77">
        <f>SUM(L39:L39)</f>
        <v>0</v>
      </c>
      <c r="M40" s="77">
        <f>SUM(M39:M39)</f>
        <v>0</v>
      </c>
      <c r="N40" s="152"/>
      <c r="T40" s="77">
        <f>SUM(T39:T39)</f>
        <v>0</v>
      </c>
    </row>
    <row r="41" spans="1:20" ht="12.6" thickBot="1">
      <c r="F41" s="185"/>
      <c r="G41" s="185"/>
      <c r="H41" s="185"/>
      <c r="I41" s="185"/>
      <c r="J41" s="185"/>
      <c r="K41" s="185"/>
      <c r="N41" s="152"/>
    </row>
    <row r="42" spans="1:20" ht="12">
      <c r="A42" s="169" t="s">
        <v>60</v>
      </c>
      <c r="F42" s="185"/>
      <c r="G42" s="188"/>
      <c r="H42" s="152"/>
      <c r="I42" s="185"/>
      <c r="J42" s="185"/>
      <c r="K42" s="185"/>
      <c r="N42" s="152"/>
    </row>
    <row r="43" spans="1:20" ht="12">
      <c r="N43" s="152"/>
    </row>
    <row r="44" spans="1:20" ht="12">
      <c r="I44" s="198"/>
      <c r="J44" s="346">
        <f>SUM(J43:J43)</f>
        <v>0</v>
      </c>
      <c r="K44" s="186"/>
      <c r="L44" s="77">
        <f>SUM(L43:L43)</f>
        <v>0</v>
      </c>
      <c r="M44" s="77">
        <f>SUM(M43:M43)</f>
        <v>0</v>
      </c>
      <c r="N44" s="152"/>
      <c r="T44" s="77">
        <f>SUM(T43:T43)</f>
        <v>0</v>
      </c>
    </row>
    <row r="45" spans="1:20" ht="12">
      <c r="I45" s="198"/>
      <c r="N45" s="152"/>
    </row>
    <row r="47" spans="1:20" ht="12.6" thickBot="1">
      <c r="J47" s="347">
        <f>J15+J36+J40+J44</f>
        <v>0</v>
      </c>
      <c r="M47" s="347">
        <f>M44+M40+M36+F18</f>
        <v>0</v>
      </c>
      <c r="O47" s="265"/>
      <c r="P47" s="265"/>
      <c r="Q47" s="265"/>
      <c r="R47" s="265"/>
      <c r="T47" s="345">
        <f>T44+T40+T36+T18</f>
        <v>0</v>
      </c>
    </row>
    <row r="48" spans="1:20" ht="12" thickTop="1">
      <c r="M48" s="198"/>
    </row>
    <row r="50" spans="1:11">
      <c r="H50" s="200"/>
    </row>
    <row r="51" spans="1:11">
      <c r="H51" s="200"/>
    </row>
    <row r="52" spans="1:11" ht="12">
      <c r="A52" s="13"/>
      <c r="B52" s="13"/>
      <c r="C52" s="13"/>
      <c r="D52" s="36"/>
      <c r="E52" s="36"/>
      <c r="F52" s="425"/>
      <c r="G52" s="289"/>
      <c r="H52" s="11"/>
      <c r="I52" s="11"/>
      <c r="J52" s="289"/>
      <c r="K52" s="11"/>
    </row>
  </sheetData>
  <phoneticPr fontId="3" type="noConversion"/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22">
    <tabColor theme="0" tint="-0.499984740745262"/>
  </sheetPr>
  <dimension ref="A1:V28"/>
  <sheetViews>
    <sheetView zoomScaleNormal="100" workbookViewId="0">
      <selection activeCell="H14" sqref="H14"/>
    </sheetView>
  </sheetViews>
  <sheetFormatPr defaultColWidth="10.875" defaultRowHeight="12"/>
  <cols>
    <col min="1" max="1" width="9.875" style="13" customWidth="1"/>
    <col min="2" max="2" width="7.125" style="13" bestFit="1" customWidth="1"/>
    <col min="3" max="3" width="10.125" style="13" bestFit="1" customWidth="1"/>
    <col min="4" max="4" width="13.25" style="13" bestFit="1" customWidth="1"/>
    <col min="5" max="5" width="26.875" style="13" customWidth="1"/>
    <col min="6" max="6" width="29.625" style="13" customWidth="1"/>
    <col min="7" max="7" width="12.875" style="13" bestFit="1" customWidth="1"/>
    <col min="8" max="8" width="13.875" style="12" bestFit="1" customWidth="1"/>
    <col min="9" max="9" width="12.75" style="35" customWidth="1"/>
    <col min="10" max="10" width="15.25" style="13" bestFit="1" customWidth="1"/>
    <col min="11" max="11" width="10.875" style="13" bestFit="1" customWidth="1"/>
    <col min="12" max="12" width="12.625" style="35" bestFit="1" customWidth="1"/>
    <col min="13" max="13" width="10.875" style="13" bestFit="1" customWidth="1"/>
    <col min="14" max="14" width="15.25" style="12" customWidth="1"/>
    <col min="15" max="15" width="12.25" style="12" bestFit="1" customWidth="1"/>
    <col min="16" max="16" width="10.625" style="13" bestFit="1" customWidth="1"/>
    <col min="17" max="17" width="10.25" style="13" bestFit="1" customWidth="1"/>
    <col min="18" max="18" width="34.375" style="13" customWidth="1"/>
    <col min="19" max="16384" width="10.875" style="13"/>
  </cols>
  <sheetData>
    <row r="1" spans="1:22" s="17" customFormat="1" ht="11.4">
      <c r="A1" s="16" t="s">
        <v>12</v>
      </c>
      <c r="B1" s="291"/>
      <c r="C1" s="291"/>
      <c r="E1" s="382">
        <f>ROUND(Totals!$H$8*Totals!$P$18, 0)</f>
        <v>46829688</v>
      </c>
      <c r="F1" s="18"/>
      <c r="G1" s="18"/>
      <c r="H1" s="332"/>
      <c r="I1" s="333"/>
      <c r="J1" s="284"/>
      <c r="K1" s="284"/>
      <c r="L1" s="333"/>
      <c r="M1" s="284"/>
      <c r="N1" s="332"/>
      <c r="O1" s="332"/>
      <c r="P1" s="284"/>
      <c r="R1" s="285"/>
      <c r="S1" s="5"/>
      <c r="T1" s="5"/>
      <c r="U1" s="5"/>
      <c r="V1" s="5"/>
    </row>
    <row r="2" spans="1:22" s="5" customFormat="1" ht="11.4">
      <c r="A2" s="25" t="s">
        <v>73</v>
      </c>
      <c r="B2" s="48"/>
      <c r="C2" s="48"/>
      <c r="E2" s="26"/>
      <c r="F2" s="26"/>
      <c r="G2" s="26"/>
      <c r="H2" s="46"/>
      <c r="I2" s="47"/>
      <c r="J2" s="6"/>
      <c r="K2" s="6"/>
      <c r="L2" s="47"/>
      <c r="M2" s="6"/>
      <c r="N2" s="46"/>
      <c r="O2" s="46"/>
      <c r="P2" s="6"/>
      <c r="R2" s="286"/>
    </row>
    <row r="3" spans="1:22">
      <c r="A3" s="137"/>
      <c r="H3" s="44"/>
      <c r="I3" s="45"/>
      <c r="J3" s="11"/>
      <c r="K3" s="11"/>
      <c r="L3" s="45"/>
      <c r="M3" s="11"/>
      <c r="N3" s="44"/>
      <c r="O3" s="44"/>
      <c r="P3" s="11"/>
      <c r="Q3" s="1"/>
      <c r="R3" s="287"/>
      <c r="S3" s="5"/>
      <c r="T3" s="5"/>
      <c r="U3" s="5"/>
      <c r="V3" s="5"/>
    </row>
    <row r="4" spans="1:22" s="5" customFormat="1">
      <c r="A4" s="31" t="s">
        <v>206</v>
      </c>
      <c r="B4" s="5" t="s">
        <v>208</v>
      </c>
      <c r="C4" s="5" t="s">
        <v>32</v>
      </c>
      <c r="D4" s="5" t="s">
        <v>37</v>
      </c>
      <c r="E4" s="5" t="s">
        <v>31</v>
      </c>
      <c r="F4" s="26" t="s">
        <v>49</v>
      </c>
      <c r="G4" s="26" t="s">
        <v>45</v>
      </c>
      <c r="H4" s="84" t="s">
        <v>23</v>
      </c>
      <c r="I4" s="32" t="s">
        <v>8</v>
      </c>
      <c r="J4" s="6" t="s">
        <v>14</v>
      </c>
      <c r="K4" s="6" t="s">
        <v>34</v>
      </c>
      <c r="L4" s="32" t="s">
        <v>4</v>
      </c>
      <c r="M4" s="6" t="s">
        <v>157</v>
      </c>
      <c r="N4" s="32" t="s">
        <v>27</v>
      </c>
      <c r="O4" s="32" t="s">
        <v>44</v>
      </c>
      <c r="P4" s="6" t="s">
        <v>22</v>
      </c>
      <c r="Q4" s="5" t="s">
        <v>172</v>
      </c>
      <c r="R4" s="30" t="s">
        <v>286</v>
      </c>
      <c r="S4" s="13"/>
      <c r="T4" s="13"/>
      <c r="U4" s="13"/>
      <c r="V4" s="13"/>
    </row>
    <row r="5" spans="1:22" s="5" customFormat="1">
      <c r="A5" s="31" t="s">
        <v>207</v>
      </c>
      <c r="B5" s="5" t="s">
        <v>207</v>
      </c>
      <c r="C5" s="5" t="s">
        <v>48</v>
      </c>
      <c r="D5" s="13"/>
      <c r="F5" s="26"/>
      <c r="G5" s="26"/>
      <c r="H5" s="84" t="s">
        <v>42</v>
      </c>
      <c r="I5" s="32" t="s">
        <v>42</v>
      </c>
      <c r="J5" s="6" t="s">
        <v>9</v>
      </c>
      <c r="K5" s="6" t="s">
        <v>18</v>
      </c>
      <c r="L5" s="32" t="s">
        <v>42</v>
      </c>
      <c r="M5" s="6" t="s">
        <v>18</v>
      </c>
      <c r="N5" s="32" t="s">
        <v>42</v>
      </c>
      <c r="O5" s="32" t="s">
        <v>42</v>
      </c>
      <c r="P5" s="6" t="s">
        <v>5</v>
      </c>
      <c r="Q5" s="5" t="s">
        <v>171</v>
      </c>
      <c r="R5" s="30" t="s">
        <v>287</v>
      </c>
      <c r="S5" s="13"/>
      <c r="T5" s="13"/>
      <c r="U5" s="13"/>
      <c r="V5" s="13"/>
    </row>
    <row r="6" spans="1:22" s="5" customFormat="1" ht="12.6" thickBot="1">
      <c r="A6" s="37"/>
      <c r="B6" s="33"/>
      <c r="C6" s="33" t="s">
        <v>173</v>
      </c>
      <c r="D6" s="38"/>
      <c r="E6" s="33"/>
      <c r="F6" s="39"/>
      <c r="G6" s="39"/>
      <c r="H6" s="130"/>
      <c r="I6" s="55"/>
      <c r="J6" s="40"/>
      <c r="K6" s="40"/>
      <c r="L6" s="55"/>
      <c r="M6" s="40"/>
      <c r="N6" s="55"/>
      <c r="O6" s="55"/>
      <c r="P6" s="40"/>
      <c r="Q6" s="38"/>
      <c r="R6" s="386" t="s">
        <v>9</v>
      </c>
      <c r="S6" s="13"/>
      <c r="T6" s="13"/>
      <c r="U6" s="13"/>
      <c r="V6" s="13"/>
    </row>
    <row r="7" spans="1:22" s="5" customFormat="1" ht="11.4">
      <c r="A7" s="5" t="s">
        <v>146</v>
      </c>
      <c r="B7" s="5" t="s">
        <v>146</v>
      </c>
      <c r="C7" s="5">
        <v>5329</v>
      </c>
      <c r="D7" s="5" t="s">
        <v>625</v>
      </c>
      <c r="E7" s="5" t="s">
        <v>676</v>
      </c>
      <c r="F7" s="26" t="s">
        <v>677</v>
      </c>
      <c r="G7" s="26" t="s">
        <v>412</v>
      </c>
      <c r="H7" s="349">
        <v>35000000</v>
      </c>
      <c r="I7" s="349">
        <f>H7</f>
        <v>35000000</v>
      </c>
      <c r="J7" s="6">
        <v>44253</v>
      </c>
      <c r="K7" s="6">
        <f>J7+35</f>
        <v>44288</v>
      </c>
      <c r="L7" s="349">
        <v>35000000</v>
      </c>
      <c r="M7" s="6">
        <f>J7+180</f>
        <v>44433</v>
      </c>
      <c r="N7" s="349"/>
      <c r="O7" s="349"/>
      <c r="P7" s="6"/>
      <c r="Q7" s="5" t="s">
        <v>272</v>
      </c>
      <c r="R7" s="48"/>
    </row>
    <row r="8" spans="1:22">
      <c r="F8" s="36"/>
      <c r="G8" s="36"/>
      <c r="H8" s="289"/>
      <c r="I8" s="289"/>
      <c r="J8" s="11"/>
      <c r="K8" s="11"/>
      <c r="L8" s="289"/>
      <c r="M8" s="11"/>
      <c r="N8" s="289"/>
      <c r="O8" s="289"/>
      <c r="P8" s="11"/>
      <c r="R8" s="43"/>
    </row>
    <row r="9" spans="1:22">
      <c r="F9" s="36"/>
      <c r="G9" s="36"/>
      <c r="H9" s="27"/>
      <c r="I9" s="27"/>
      <c r="J9" s="11"/>
      <c r="K9" s="11"/>
      <c r="L9" s="314"/>
      <c r="M9" s="11"/>
      <c r="N9" s="314"/>
      <c r="O9" s="314"/>
      <c r="P9" s="11"/>
      <c r="R9" s="43"/>
    </row>
    <row r="10" spans="1:22">
      <c r="A10" s="43" t="s">
        <v>2</v>
      </c>
      <c r="B10" s="43"/>
      <c r="C10" s="43"/>
      <c r="D10" s="43"/>
      <c r="E10" s="1"/>
      <c r="F10" s="13" t="s">
        <v>19</v>
      </c>
      <c r="H10" s="263">
        <f>SUM(H7:H9)</f>
        <v>35000000</v>
      </c>
      <c r="I10" s="263">
        <f>SUM(I7:I9)</f>
        <v>35000000</v>
      </c>
      <c r="J10" s="10"/>
      <c r="K10" s="10"/>
      <c r="L10" s="263">
        <f>SUM(L7:L9)</f>
        <v>35000000</v>
      </c>
      <c r="M10" s="10"/>
      <c r="N10" s="356">
        <f>SUM(N7:N9)</f>
        <v>0</v>
      </c>
      <c r="O10" s="263">
        <f>SUM(O7:O9)</f>
        <v>0</v>
      </c>
    </row>
    <row r="11" spans="1:22" s="1" customFormat="1">
      <c r="A11" s="5"/>
      <c r="B11" s="5"/>
      <c r="C11" s="5"/>
      <c r="D11" s="88"/>
      <c r="F11" s="13"/>
      <c r="H11" s="76"/>
      <c r="J11" s="11"/>
      <c r="K11" s="11"/>
      <c r="L11" s="9"/>
      <c r="M11" s="6"/>
      <c r="Q11" s="13"/>
    </row>
    <row r="12" spans="1:22" s="1" customFormat="1">
      <c r="A12" s="5"/>
      <c r="B12" s="5"/>
      <c r="C12" s="5"/>
      <c r="E12" s="5"/>
      <c r="F12" s="13" t="s">
        <v>43</v>
      </c>
      <c r="G12" s="5"/>
      <c r="H12" s="34">
        <f>SUM(H10-I10)</f>
        <v>0</v>
      </c>
      <c r="I12" s="9"/>
      <c r="L12" s="9"/>
      <c r="Q12" s="13"/>
    </row>
    <row r="13" spans="1:22" s="1" customFormat="1">
      <c r="A13" s="5"/>
      <c r="B13" s="5"/>
      <c r="C13" s="5"/>
      <c r="E13" s="5"/>
      <c r="G13" s="5"/>
      <c r="H13" s="67"/>
      <c r="I13" s="9"/>
      <c r="K13" s="138"/>
      <c r="L13" s="9"/>
      <c r="M13" s="3"/>
      <c r="N13" s="76"/>
      <c r="Q13" s="13"/>
    </row>
    <row r="14" spans="1:22" s="1" customFormat="1">
      <c r="A14" s="5"/>
      <c r="B14" s="5"/>
      <c r="C14" s="5"/>
      <c r="E14" s="133"/>
      <c r="F14" s="58" t="s">
        <v>75</v>
      </c>
      <c r="G14" s="5"/>
      <c r="H14" s="77">
        <f>+E1-I10+O10+G17</f>
        <v>11829688</v>
      </c>
      <c r="I14" s="292"/>
      <c r="J14" s="138"/>
      <c r="L14" s="9"/>
      <c r="M14" s="138"/>
      <c r="Q14" s="13"/>
    </row>
    <row r="16" spans="1:22">
      <c r="K16" s="11"/>
    </row>
    <row r="17" spans="7:10" s="13" customFormat="1">
      <c r="G17" s="299"/>
      <c r="H17" s="12"/>
      <c r="I17" s="35"/>
    </row>
    <row r="21" spans="7:10" s="13" customFormat="1">
      <c r="G21" s="36"/>
      <c r="H21" s="12"/>
      <c r="I21" s="35"/>
    </row>
    <row r="28" spans="7:10" s="13" customFormat="1">
      <c r="H28" s="12"/>
      <c r="I28" s="35"/>
      <c r="J28" s="35"/>
    </row>
  </sheetData>
  <pageMargins left="0.75" right="0.75" top="1" bottom="1" header="0.5" footer="0.5"/>
  <pageSetup scale="57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23">
    <tabColor theme="0" tint="-0.499984740745262"/>
  </sheetPr>
  <dimension ref="A1:V27"/>
  <sheetViews>
    <sheetView zoomScaleNormal="100" workbookViewId="0">
      <selection activeCell="H13" sqref="H13"/>
    </sheetView>
  </sheetViews>
  <sheetFormatPr defaultColWidth="10.875" defaultRowHeight="12"/>
  <cols>
    <col min="1" max="1" width="10.125" style="13" customWidth="1"/>
    <col min="2" max="2" width="7.125" style="13" bestFit="1" customWidth="1"/>
    <col min="3" max="3" width="10.125" style="13" bestFit="1" customWidth="1"/>
    <col min="4" max="4" width="8.625" style="13" bestFit="1" customWidth="1"/>
    <col min="5" max="5" width="28.875" style="13" customWidth="1"/>
    <col min="6" max="6" width="31.125" style="13" customWidth="1"/>
    <col min="7" max="7" width="11.25" style="13" bestFit="1" customWidth="1"/>
    <col min="8" max="8" width="13.875" style="12" bestFit="1" customWidth="1"/>
    <col min="9" max="9" width="12.75" style="35" bestFit="1" customWidth="1"/>
    <col min="10" max="10" width="15.25" style="13" bestFit="1" customWidth="1"/>
    <col min="11" max="11" width="10.875" style="13" bestFit="1" customWidth="1"/>
    <col min="12" max="12" width="12.625" style="35" bestFit="1" customWidth="1"/>
    <col min="13" max="13" width="10.875" style="13" bestFit="1" customWidth="1"/>
    <col min="14" max="14" width="15.25" style="12" bestFit="1" customWidth="1"/>
    <col min="15" max="15" width="12.25" style="12" bestFit="1" customWidth="1"/>
    <col min="16" max="16" width="10.625" style="13" bestFit="1" customWidth="1"/>
    <col min="17" max="17" width="10.25" style="13" bestFit="1" customWidth="1"/>
    <col min="18" max="18" width="35.25" style="13" bestFit="1" customWidth="1"/>
    <col min="19" max="16384" width="10.875" style="13"/>
  </cols>
  <sheetData>
    <row r="1" spans="1:22" s="17" customFormat="1" ht="11.4">
      <c r="A1" s="16" t="s">
        <v>12</v>
      </c>
      <c r="B1" s="291"/>
      <c r="C1" s="291"/>
      <c r="E1" s="382">
        <f>ROUND(Totals!$H$8*Totals!$P$19, 0)</f>
        <v>16604577</v>
      </c>
      <c r="F1" s="18"/>
      <c r="G1" s="18"/>
      <c r="H1" s="332"/>
      <c r="I1" s="333"/>
      <c r="J1" s="284"/>
      <c r="K1" s="284"/>
      <c r="L1" s="333"/>
      <c r="M1" s="284"/>
      <c r="N1" s="332"/>
      <c r="O1" s="332"/>
      <c r="P1" s="284"/>
      <c r="R1" s="285"/>
      <c r="S1" s="5"/>
      <c r="T1" s="5"/>
      <c r="U1" s="5"/>
      <c r="V1" s="5"/>
    </row>
    <row r="2" spans="1:22" s="5" customFormat="1" ht="11.4">
      <c r="A2" s="25" t="s">
        <v>72</v>
      </c>
      <c r="B2" s="48"/>
      <c r="C2" s="48"/>
      <c r="E2" s="26"/>
      <c r="F2" s="26"/>
      <c r="G2" s="26"/>
      <c r="H2" s="46"/>
      <c r="I2" s="47"/>
      <c r="J2" s="6"/>
      <c r="K2" s="6"/>
      <c r="L2" s="47"/>
      <c r="M2" s="6"/>
      <c r="N2" s="46"/>
      <c r="O2" s="46"/>
      <c r="P2" s="6"/>
      <c r="R2" s="286"/>
    </row>
    <row r="3" spans="1:22">
      <c r="A3" s="137"/>
      <c r="H3" s="44"/>
      <c r="I3" s="45"/>
      <c r="J3" s="11"/>
      <c r="K3" s="11"/>
      <c r="L3" s="45"/>
      <c r="M3" s="11"/>
      <c r="N3" s="44"/>
      <c r="O3" s="44"/>
      <c r="P3" s="11"/>
      <c r="Q3" s="1"/>
      <c r="R3" s="287"/>
      <c r="S3" s="5"/>
      <c r="T3" s="5"/>
      <c r="U3" s="5"/>
      <c r="V3" s="5"/>
    </row>
    <row r="4" spans="1:22" s="5" customFormat="1">
      <c r="A4" s="31" t="s">
        <v>206</v>
      </c>
      <c r="B4" s="5" t="s">
        <v>208</v>
      </c>
      <c r="C4" s="5" t="s">
        <v>32</v>
      </c>
      <c r="D4" s="5" t="s">
        <v>37</v>
      </c>
      <c r="E4" s="5" t="s">
        <v>31</v>
      </c>
      <c r="F4" s="26" t="s">
        <v>49</v>
      </c>
      <c r="G4" s="26" t="s">
        <v>45</v>
      </c>
      <c r="H4" s="84" t="s">
        <v>23</v>
      </c>
      <c r="I4" s="32" t="s">
        <v>8</v>
      </c>
      <c r="J4" s="6" t="s">
        <v>14</v>
      </c>
      <c r="K4" s="6" t="s">
        <v>34</v>
      </c>
      <c r="L4" s="32" t="s">
        <v>4</v>
      </c>
      <c r="M4" s="6" t="s">
        <v>157</v>
      </c>
      <c r="N4" s="32" t="s">
        <v>27</v>
      </c>
      <c r="O4" s="32" t="s">
        <v>44</v>
      </c>
      <c r="P4" s="6" t="s">
        <v>22</v>
      </c>
      <c r="Q4" s="5" t="s">
        <v>172</v>
      </c>
      <c r="R4" s="30" t="s">
        <v>286</v>
      </c>
      <c r="S4" s="13"/>
      <c r="T4" s="13"/>
      <c r="U4" s="13"/>
      <c r="V4" s="13"/>
    </row>
    <row r="5" spans="1:22" s="5" customFormat="1">
      <c r="A5" s="31" t="s">
        <v>207</v>
      </c>
      <c r="B5" s="5" t="s">
        <v>207</v>
      </c>
      <c r="C5" s="5" t="s">
        <v>48</v>
      </c>
      <c r="D5" s="13"/>
      <c r="F5" s="26"/>
      <c r="G5" s="26"/>
      <c r="H5" s="84" t="s">
        <v>42</v>
      </c>
      <c r="I5" s="32" t="s">
        <v>42</v>
      </c>
      <c r="J5" s="6" t="s">
        <v>9</v>
      </c>
      <c r="K5" s="6" t="s">
        <v>18</v>
      </c>
      <c r="L5" s="32" t="s">
        <v>42</v>
      </c>
      <c r="M5" s="6" t="s">
        <v>18</v>
      </c>
      <c r="N5" s="32" t="s">
        <v>42</v>
      </c>
      <c r="O5" s="32" t="s">
        <v>42</v>
      </c>
      <c r="P5" s="6" t="s">
        <v>5</v>
      </c>
      <c r="Q5" s="5" t="s">
        <v>171</v>
      </c>
      <c r="R5" s="30" t="s">
        <v>287</v>
      </c>
      <c r="S5" s="13"/>
      <c r="T5" s="13"/>
      <c r="U5" s="13"/>
      <c r="V5" s="13"/>
    </row>
    <row r="6" spans="1:22" s="5" customFormat="1" ht="12.6" thickBot="1">
      <c r="A6" s="37"/>
      <c r="B6" s="33"/>
      <c r="C6" s="33" t="s">
        <v>173</v>
      </c>
      <c r="D6" s="38"/>
      <c r="E6" s="33"/>
      <c r="F6" s="39"/>
      <c r="G6" s="39"/>
      <c r="H6" s="130"/>
      <c r="I6" s="55"/>
      <c r="J6" s="40"/>
      <c r="K6" s="40"/>
      <c r="L6" s="55"/>
      <c r="M6" s="40"/>
      <c r="N6" s="55"/>
      <c r="O6" s="55"/>
      <c r="P6" s="40"/>
      <c r="Q6" s="38"/>
      <c r="R6" s="386" t="s">
        <v>9</v>
      </c>
      <c r="S6" s="13"/>
      <c r="T6" s="13"/>
      <c r="U6" s="13"/>
      <c r="V6" s="13"/>
    </row>
    <row r="7" spans="1:22">
      <c r="F7" s="36"/>
      <c r="G7" s="36"/>
      <c r="H7" s="27"/>
      <c r="I7" s="27"/>
      <c r="J7" s="11"/>
      <c r="K7" s="11"/>
      <c r="L7" s="314"/>
      <c r="M7" s="11"/>
      <c r="N7" s="314"/>
      <c r="O7" s="314"/>
      <c r="P7" s="11"/>
      <c r="R7" s="43"/>
    </row>
    <row r="8" spans="1:22">
      <c r="F8" s="36"/>
      <c r="G8" s="36"/>
      <c r="H8" s="27"/>
      <c r="I8" s="27"/>
      <c r="J8" s="11"/>
      <c r="K8" s="11"/>
      <c r="L8" s="314"/>
      <c r="M8" s="11"/>
      <c r="N8" s="314"/>
      <c r="O8" s="314"/>
      <c r="P8" s="11"/>
      <c r="R8" s="43"/>
    </row>
    <row r="9" spans="1:22">
      <c r="A9" s="43" t="s">
        <v>2</v>
      </c>
      <c r="B9" s="43"/>
      <c r="C9" s="43"/>
      <c r="D9" s="43"/>
      <c r="E9" s="1"/>
      <c r="F9" s="13" t="s">
        <v>19</v>
      </c>
      <c r="H9" s="263">
        <f>SUM(H7:H8)</f>
        <v>0</v>
      </c>
      <c r="I9" s="263">
        <f>SUM(I7:I8)</f>
        <v>0</v>
      </c>
      <c r="J9" s="10"/>
      <c r="K9" s="10"/>
      <c r="L9" s="263">
        <f>SUM(L7:L8)</f>
        <v>0</v>
      </c>
      <c r="M9" s="10"/>
      <c r="N9" s="263">
        <f>SUM(N7:N8)</f>
        <v>0</v>
      </c>
      <c r="O9" s="263">
        <f>SUM(O7:O8)</f>
        <v>0</v>
      </c>
    </row>
    <row r="10" spans="1:22" s="1" customFormat="1">
      <c r="A10" s="5"/>
      <c r="B10" s="5"/>
      <c r="C10" s="5"/>
      <c r="D10" s="88"/>
      <c r="F10" s="13"/>
      <c r="H10" s="76"/>
      <c r="J10" s="11"/>
      <c r="K10" s="11"/>
      <c r="L10" s="9"/>
      <c r="M10" s="6"/>
      <c r="Q10" s="13"/>
    </row>
    <row r="11" spans="1:22" s="1" customFormat="1">
      <c r="A11" s="5"/>
      <c r="B11" s="5"/>
      <c r="C11" s="5"/>
      <c r="E11" s="5"/>
      <c r="F11" s="13" t="s">
        <v>43</v>
      </c>
      <c r="G11" s="5"/>
      <c r="H11" s="34">
        <f>SUM(H9-I9)</f>
        <v>0</v>
      </c>
      <c r="I11" s="9"/>
      <c r="L11" s="9"/>
      <c r="Q11" s="13"/>
    </row>
    <row r="12" spans="1:22" s="1" customFormat="1">
      <c r="A12" s="5"/>
      <c r="B12" s="5"/>
      <c r="C12" s="5"/>
      <c r="E12" s="5"/>
      <c r="G12" s="5"/>
      <c r="H12" s="67"/>
      <c r="I12" s="9"/>
      <c r="K12" s="138"/>
      <c r="L12" s="9"/>
      <c r="N12" s="76"/>
      <c r="Q12" s="13"/>
    </row>
    <row r="13" spans="1:22" s="1" customFormat="1">
      <c r="A13" s="5"/>
      <c r="B13" s="5"/>
      <c r="C13" s="5"/>
      <c r="E13" s="133"/>
      <c r="F13" s="58" t="s">
        <v>75</v>
      </c>
      <c r="G13" s="5"/>
      <c r="H13" s="77">
        <f>+E1-I9+O9+G16</f>
        <v>16604577</v>
      </c>
      <c r="I13" s="292"/>
      <c r="J13" s="138"/>
      <c r="L13" s="9"/>
      <c r="M13" s="138"/>
      <c r="Q13" s="13"/>
    </row>
    <row r="14" spans="1:22">
      <c r="I14" s="97"/>
    </row>
    <row r="16" spans="1:22">
      <c r="G16" s="299"/>
    </row>
    <row r="27" spans="10:10">
      <c r="J27" s="35"/>
    </row>
  </sheetData>
  <pageMargins left="0.75" right="0.75" top="1" bottom="1" header="0.5" footer="0.5"/>
  <pageSetup scale="57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16">
    <tabColor theme="0" tint="-0.499984740745262"/>
  </sheetPr>
  <dimension ref="A1:V28"/>
  <sheetViews>
    <sheetView zoomScaleNormal="100" workbookViewId="0">
      <selection activeCell="H14" sqref="H14"/>
    </sheetView>
  </sheetViews>
  <sheetFormatPr defaultColWidth="10.875" defaultRowHeight="12"/>
  <cols>
    <col min="1" max="1" width="10.375" style="13" customWidth="1"/>
    <col min="2" max="2" width="7.125" style="13" bestFit="1" customWidth="1"/>
    <col min="3" max="3" width="10.125" style="13" bestFit="1" customWidth="1"/>
    <col min="4" max="4" width="8.625" style="13" bestFit="1" customWidth="1"/>
    <col min="5" max="5" width="30" style="13" customWidth="1"/>
    <col min="6" max="6" width="30.25" style="13" customWidth="1"/>
    <col min="7" max="7" width="11.25" style="13" bestFit="1" customWidth="1"/>
    <col min="8" max="8" width="13.875" style="12" bestFit="1" customWidth="1"/>
    <col min="9" max="9" width="12.75" style="35" bestFit="1" customWidth="1"/>
    <col min="10" max="10" width="15.25" style="13" bestFit="1" customWidth="1"/>
    <col min="11" max="11" width="10.875" style="13" bestFit="1" customWidth="1"/>
    <col min="12" max="12" width="12.625" style="35" bestFit="1" customWidth="1"/>
    <col min="13" max="13" width="10.875" style="13" bestFit="1" customWidth="1"/>
    <col min="14" max="14" width="15.25" style="12" bestFit="1" customWidth="1"/>
    <col min="15" max="15" width="12.25" style="12" bestFit="1" customWidth="1"/>
    <col min="16" max="16" width="10.625" style="13" bestFit="1" customWidth="1"/>
    <col min="17" max="17" width="10.25" style="13" bestFit="1" customWidth="1"/>
    <col min="18" max="18" width="34.375" style="13" customWidth="1"/>
    <col min="19" max="16384" width="10.875" style="13"/>
  </cols>
  <sheetData>
    <row r="1" spans="1:22" s="17" customFormat="1" ht="11.4">
      <c r="A1" s="16" t="s">
        <v>12</v>
      </c>
      <c r="B1" s="291"/>
      <c r="C1" s="291"/>
      <c r="E1" s="382">
        <f>ROUND(Totals!$H$8*Totals!$P$20, 0)</f>
        <v>22791933</v>
      </c>
      <c r="F1" s="18"/>
      <c r="G1" s="18"/>
      <c r="H1" s="332"/>
      <c r="I1" s="333"/>
      <c r="J1" s="284"/>
      <c r="K1" s="284"/>
      <c r="L1" s="333"/>
      <c r="M1" s="284"/>
      <c r="N1" s="332"/>
      <c r="O1" s="332"/>
      <c r="P1" s="284"/>
      <c r="R1" s="285"/>
      <c r="S1" s="5"/>
      <c r="T1" s="5"/>
      <c r="U1" s="5"/>
      <c r="V1" s="5"/>
    </row>
    <row r="2" spans="1:22" s="5" customFormat="1" ht="11.4">
      <c r="A2" s="25" t="s">
        <v>62</v>
      </c>
      <c r="B2" s="48"/>
      <c r="C2" s="48"/>
      <c r="E2" s="26"/>
      <c r="F2" s="26"/>
      <c r="G2" s="26"/>
      <c r="H2" s="46"/>
      <c r="I2" s="47"/>
      <c r="J2" s="6"/>
      <c r="K2" s="6"/>
      <c r="L2" s="47"/>
      <c r="M2" s="6"/>
      <c r="N2" s="46"/>
      <c r="O2" s="46"/>
      <c r="P2" s="6"/>
      <c r="R2" s="286"/>
    </row>
    <row r="3" spans="1:22">
      <c r="A3" s="137"/>
      <c r="H3" s="44"/>
      <c r="I3" s="45"/>
      <c r="J3" s="11"/>
      <c r="K3" s="11"/>
      <c r="L3" s="45"/>
      <c r="M3" s="11"/>
      <c r="N3" s="44"/>
      <c r="O3" s="44"/>
      <c r="P3" s="11"/>
      <c r="Q3" s="1"/>
      <c r="R3" s="287"/>
      <c r="S3" s="5"/>
      <c r="T3" s="5"/>
      <c r="U3" s="5"/>
      <c r="V3" s="5"/>
    </row>
    <row r="4" spans="1:22" s="5" customFormat="1">
      <c r="A4" s="31" t="s">
        <v>206</v>
      </c>
      <c r="B4" s="5" t="s">
        <v>208</v>
      </c>
      <c r="C4" s="5" t="s">
        <v>32</v>
      </c>
      <c r="D4" s="5" t="s">
        <v>37</v>
      </c>
      <c r="E4" s="5" t="s">
        <v>31</v>
      </c>
      <c r="F4" s="26" t="s">
        <v>49</v>
      </c>
      <c r="G4" s="26" t="s">
        <v>45</v>
      </c>
      <c r="H4" s="84" t="s">
        <v>23</v>
      </c>
      <c r="I4" s="32" t="s">
        <v>8</v>
      </c>
      <c r="J4" s="6" t="s">
        <v>14</v>
      </c>
      <c r="K4" s="6" t="s">
        <v>34</v>
      </c>
      <c r="L4" s="32" t="s">
        <v>4</v>
      </c>
      <c r="M4" s="6" t="s">
        <v>157</v>
      </c>
      <c r="N4" s="32" t="s">
        <v>27</v>
      </c>
      <c r="O4" s="32" t="s">
        <v>44</v>
      </c>
      <c r="P4" s="6" t="s">
        <v>22</v>
      </c>
      <c r="Q4" s="5" t="s">
        <v>172</v>
      </c>
      <c r="R4" s="30" t="s">
        <v>286</v>
      </c>
      <c r="S4" s="13"/>
      <c r="T4" s="13"/>
      <c r="U4" s="13"/>
      <c r="V4" s="13"/>
    </row>
    <row r="5" spans="1:22" s="5" customFormat="1">
      <c r="A5" s="31" t="s">
        <v>207</v>
      </c>
      <c r="B5" s="5" t="s">
        <v>207</v>
      </c>
      <c r="C5" s="5" t="s">
        <v>48</v>
      </c>
      <c r="D5" s="13"/>
      <c r="F5" s="26"/>
      <c r="G5" s="26"/>
      <c r="H5" s="84" t="s">
        <v>42</v>
      </c>
      <c r="I5" s="32" t="s">
        <v>42</v>
      </c>
      <c r="J5" s="6" t="s">
        <v>9</v>
      </c>
      <c r="K5" s="6" t="s">
        <v>18</v>
      </c>
      <c r="L5" s="32" t="s">
        <v>42</v>
      </c>
      <c r="M5" s="6" t="s">
        <v>18</v>
      </c>
      <c r="N5" s="32" t="s">
        <v>42</v>
      </c>
      <c r="O5" s="32" t="s">
        <v>42</v>
      </c>
      <c r="P5" s="6" t="s">
        <v>5</v>
      </c>
      <c r="Q5" s="5" t="s">
        <v>171</v>
      </c>
      <c r="R5" s="30" t="s">
        <v>287</v>
      </c>
      <c r="S5" s="13"/>
      <c r="T5" s="13"/>
      <c r="U5" s="13"/>
      <c r="V5" s="13"/>
    </row>
    <row r="6" spans="1:22" s="5" customFormat="1" ht="12.6" thickBot="1">
      <c r="A6" s="37"/>
      <c r="B6" s="33"/>
      <c r="C6" s="33" t="s">
        <v>173</v>
      </c>
      <c r="D6" s="38"/>
      <c r="E6" s="33"/>
      <c r="F6" s="39"/>
      <c r="G6" s="39"/>
      <c r="H6" s="130"/>
      <c r="I6" s="55"/>
      <c r="J6" s="40"/>
      <c r="K6" s="40"/>
      <c r="L6" s="55"/>
      <c r="M6" s="40"/>
      <c r="N6" s="55"/>
      <c r="O6" s="55"/>
      <c r="P6" s="40"/>
      <c r="Q6" s="38"/>
      <c r="R6" s="386" t="s">
        <v>9</v>
      </c>
      <c r="S6" s="13"/>
      <c r="T6" s="13"/>
      <c r="U6" s="13"/>
      <c r="V6" s="13"/>
    </row>
    <row r="7" spans="1:22">
      <c r="F7" s="36"/>
      <c r="G7" s="36"/>
      <c r="H7" s="289"/>
      <c r="I7" s="289"/>
      <c r="J7" s="11"/>
      <c r="K7" s="11"/>
      <c r="L7" s="314"/>
      <c r="M7" s="11"/>
      <c r="N7" s="314"/>
      <c r="O7" s="314"/>
      <c r="P7" s="11"/>
      <c r="R7" s="43"/>
    </row>
    <row r="8" spans="1:22">
      <c r="F8" s="36"/>
      <c r="G8" s="36"/>
      <c r="H8" s="289"/>
      <c r="I8" s="289"/>
      <c r="J8" s="11"/>
      <c r="K8" s="11"/>
      <c r="L8" s="314"/>
      <c r="M8" s="11"/>
      <c r="N8" s="314"/>
      <c r="O8" s="314"/>
      <c r="P8" s="11"/>
      <c r="R8" s="43"/>
    </row>
    <row r="9" spans="1:22">
      <c r="F9" s="36"/>
      <c r="G9" s="36"/>
      <c r="H9" s="27"/>
      <c r="I9" s="27"/>
      <c r="J9" s="11"/>
      <c r="K9" s="11"/>
      <c r="L9" s="314"/>
      <c r="M9" s="11"/>
      <c r="N9" s="314"/>
      <c r="O9" s="314"/>
      <c r="P9" s="11"/>
      <c r="R9" s="43"/>
    </row>
    <row r="10" spans="1:22">
      <c r="A10" s="43" t="s">
        <v>2</v>
      </c>
      <c r="B10" s="43"/>
      <c r="C10" s="43"/>
      <c r="D10" s="43"/>
      <c r="E10" s="1"/>
      <c r="F10" s="13" t="s">
        <v>19</v>
      </c>
      <c r="H10" s="263">
        <f>SUM(H7:H9)</f>
        <v>0</v>
      </c>
      <c r="I10" s="263">
        <f>SUM(I7:I9)</f>
        <v>0</v>
      </c>
      <c r="J10" s="10"/>
      <c r="K10" s="10"/>
      <c r="L10" s="263">
        <f>SUM(L7:L9)</f>
        <v>0</v>
      </c>
      <c r="M10" s="10"/>
      <c r="N10" s="263">
        <f>SUM(N7:N9)</f>
        <v>0</v>
      </c>
      <c r="O10" s="263">
        <f>SUM(O7:O9)</f>
        <v>0</v>
      </c>
    </row>
    <row r="11" spans="1:22" s="1" customFormat="1">
      <c r="A11" s="5"/>
      <c r="B11" s="5"/>
      <c r="C11" s="5"/>
      <c r="D11" s="88"/>
      <c r="F11" s="13"/>
      <c r="H11" s="76"/>
      <c r="J11" s="11"/>
      <c r="K11" s="11"/>
      <c r="L11" s="9"/>
      <c r="M11" s="6"/>
      <c r="Q11" s="13"/>
    </row>
    <row r="12" spans="1:22" s="1" customFormat="1">
      <c r="A12" s="5"/>
      <c r="B12" s="5"/>
      <c r="C12" s="5"/>
      <c r="E12" s="5"/>
      <c r="F12" s="13" t="s">
        <v>43</v>
      </c>
      <c r="G12" s="5"/>
      <c r="H12" s="34">
        <f>SUM(H10-I10)</f>
        <v>0</v>
      </c>
      <c r="I12" s="9"/>
      <c r="L12" s="9"/>
      <c r="Q12" s="13"/>
    </row>
    <row r="13" spans="1:22" s="1" customFormat="1">
      <c r="A13" s="5"/>
      <c r="B13" s="5"/>
      <c r="C13" s="5"/>
      <c r="E13" s="5"/>
      <c r="G13" s="5"/>
      <c r="H13" s="67"/>
      <c r="I13" s="9"/>
      <c r="K13" s="138"/>
      <c r="L13" s="9"/>
      <c r="N13" s="76"/>
      <c r="Q13" s="13"/>
    </row>
    <row r="14" spans="1:22" s="1" customFormat="1">
      <c r="A14" s="5"/>
      <c r="B14" s="5"/>
      <c r="C14" s="5"/>
      <c r="E14" s="133"/>
      <c r="F14" s="58" t="s">
        <v>75</v>
      </c>
      <c r="G14" s="5"/>
      <c r="H14" s="77">
        <f>+E1-I10+O10+G17</f>
        <v>22791933</v>
      </c>
      <c r="I14" s="292"/>
      <c r="J14" s="138"/>
      <c r="L14" s="9"/>
      <c r="M14" s="138"/>
      <c r="Q14" s="13"/>
    </row>
    <row r="16" spans="1:22">
      <c r="M16" s="11"/>
    </row>
    <row r="17" spans="7:11" s="13" customFormat="1">
      <c r="G17" s="299"/>
      <c r="H17" s="12"/>
      <c r="I17" s="35"/>
      <c r="J17" s="11"/>
      <c r="K17" s="11"/>
    </row>
    <row r="19" spans="7:11" s="13" customFormat="1">
      <c r="H19" s="12"/>
      <c r="I19" s="35"/>
      <c r="K19" s="13" t="s">
        <v>7</v>
      </c>
    </row>
    <row r="28" spans="7:11" s="13" customFormat="1">
      <c r="H28" s="12"/>
      <c r="I28" s="35"/>
      <c r="J28" s="35"/>
    </row>
  </sheetData>
  <phoneticPr fontId="3" type="noConversion"/>
  <pageMargins left="0.75" right="0.75" top="1" bottom="1" header="0.5" footer="0.5"/>
  <pageSetup scale="57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19">
    <tabColor theme="0" tint="-0.249977111117893"/>
  </sheetPr>
  <dimension ref="A1:V132"/>
  <sheetViews>
    <sheetView zoomScaleNormal="100" workbookViewId="0">
      <pane ySplit="6" topLeftCell="A70" activePane="bottomLeft" state="frozen"/>
      <selection pane="bottomLeft" activeCell="H101" sqref="H101"/>
    </sheetView>
  </sheetViews>
  <sheetFormatPr defaultColWidth="11.375" defaultRowHeight="12"/>
  <cols>
    <col min="1" max="1" width="8.375" style="1" customWidth="1"/>
    <col min="2" max="2" width="6.125" style="1" customWidth="1"/>
    <col min="3" max="3" width="9.375" style="1" customWidth="1"/>
    <col min="4" max="4" width="13.25" style="1" bestFit="1" customWidth="1"/>
    <col min="5" max="5" width="32" style="1" bestFit="1" customWidth="1"/>
    <col min="6" max="6" width="50" style="1" customWidth="1"/>
    <col min="7" max="7" width="14" style="1" bestFit="1" customWidth="1"/>
    <col min="8" max="8" width="17.375" style="76" bestFit="1" customWidth="1"/>
    <col min="9" max="9" width="14" style="1" customWidth="1"/>
    <col min="10" max="10" width="13.75" style="1" bestFit="1" customWidth="1"/>
    <col min="11" max="11" width="9.625" style="1" bestFit="1" customWidth="1"/>
    <col min="12" max="12" width="14" style="9" customWidth="1"/>
    <col min="13" max="13" width="9.625" style="1" customWidth="1"/>
    <col min="14" max="14" width="13.75" style="1" customWidth="1"/>
    <col min="15" max="15" width="14" style="1" bestFit="1" customWidth="1"/>
    <col min="16" max="16" width="10.625" style="1" bestFit="1" customWidth="1"/>
    <col min="17" max="17" width="10.25" style="13" bestFit="1" customWidth="1"/>
    <col min="18" max="18" width="44.75" style="1" bestFit="1" customWidth="1"/>
    <col min="19" max="19" width="17.75" style="1" bestFit="1" customWidth="1"/>
    <col min="20" max="16384" width="11.375" style="1"/>
  </cols>
  <sheetData>
    <row r="1" spans="1:22" s="24" customFormat="1">
      <c r="A1" s="25" t="s">
        <v>30</v>
      </c>
      <c r="B1" s="48"/>
      <c r="C1" s="291"/>
      <c r="D1" s="17"/>
      <c r="E1" s="382">
        <f>Totals!I8</f>
        <v>1200003369</v>
      </c>
      <c r="F1" s="203"/>
      <c r="G1" s="18"/>
      <c r="H1" s="129"/>
      <c r="I1" s="20"/>
      <c r="J1" s="21"/>
      <c r="K1" s="22"/>
      <c r="L1" s="537"/>
      <c r="M1" s="22"/>
      <c r="N1" s="19"/>
      <c r="O1" s="19"/>
      <c r="P1" s="284"/>
      <c r="Q1" s="17"/>
      <c r="R1" s="285"/>
      <c r="S1" s="13"/>
      <c r="T1" s="13"/>
      <c r="U1" s="13"/>
      <c r="V1" s="13"/>
    </row>
    <row r="2" spans="1:22" s="13" customFormat="1">
      <c r="A2" s="25"/>
      <c r="B2" s="48"/>
      <c r="C2" s="48"/>
      <c r="D2" s="5"/>
      <c r="E2" s="52"/>
      <c r="F2" s="26"/>
      <c r="G2" s="26"/>
      <c r="H2" s="66"/>
      <c r="I2" s="28"/>
      <c r="J2" s="29"/>
      <c r="K2" s="11"/>
      <c r="L2" s="27"/>
      <c r="M2" s="11"/>
      <c r="N2" s="27"/>
      <c r="O2" s="27"/>
      <c r="P2" s="6"/>
      <c r="Q2" s="5"/>
      <c r="R2" s="286"/>
    </row>
    <row r="3" spans="1:22" s="13" customFormat="1">
      <c r="A3" s="25"/>
      <c r="B3" s="48"/>
      <c r="C3" s="48"/>
      <c r="D3" s="5"/>
      <c r="E3" s="26"/>
      <c r="F3" s="26"/>
      <c r="G3" s="26"/>
      <c r="H3" s="66"/>
      <c r="I3" s="27"/>
      <c r="J3" s="11"/>
      <c r="K3" s="11"/>
      <c r="L3" s="27"/>
      <c r="M3" s="11"/>
      <c r="N3" s="27"/>
      <c r="O3" s="27"/>
      <c r="P3" s="6"/>
      <c r="Q3" s="1"/>
      <c r="R3" s="287"/>
    </row>
    <row r="4" spans="1:22" s="5" customFormat="1">
      <c r="A4" s="31" t="s">
        <v>206</v>
      </c>
      <c r="B4" s="5" t="s">
        <v>208</v>
      </c>
      <c r="C4" s="5" t="s">
        <v>32</v>
      </c>
      <c r="D4" s="5" t="s">
        <v>37</v>
      </c>
      <c r="E4" s="5" t="s">
        <v>31</v>
      </c>
      <c r="F4" s="26" t="s">
        <v>49</v>
      </c>
      <c r="G4" s="26" t="s">
        <v>45</v>
      </c>
      <c r="H4" s="84" t="s">
        <v>23</v>
      </c>
      <c r="I4" s="32" t="s">
        <v>8</v>
      </c>
      <c r="J4" s="6" t="s">
        <v>14</v>
      </c>
      <c r="K4" s="6" t="s">
        <v>34</v>
      </c>
      <c r="L4" s="32" t="s">
        <v>4</v>
      </c>
      <c r="M4" s="6" t="s">
        <v>185</v>
      </c>
      <c r="N4" s="32" t="s">
        <v>27</v>
      </c>
      <c r="O4" s="32" t="s">
        <v>44</v>
      </c>
      <c r="P4" s="6" t="s">
        <v>22</v>
      </c>
      <c r="Q4" s="5" t="s">
        <v>172</v>
      </c>
      <c r="R4" s="30" t="s">
        <v>286</v>
      </c>
      <c r="S4" s="13"/>
      <c r="T4" s="13"/>
      <c r="U4" s="13"/>
      <c r="V4" s="13"/>
    </row>
    <row r="5" spans="1:22" s="5" customFormat="1">
      <c r="A5" s="31" t="s">
        <v>207</v>
      </c>
      <c r="B5" s="5" t="s">
        <v>207</v>
      </c>
      <c r="C5" s="5" t="s">
        <v>48</v>
      </c>
      <c r="D5" s="13"/>
      <c r="F5" s="26"/>
      <c r="G5" s="26"/>
      <c r="H5" s="84" t="s">
        <v>42</v>
      </c>
      <c r="I5" s="32" t="s">
        <v>42</v>
      </c>
      <c r="J5" s="6" t="s">
        <v>9</v>
      </c>
      <c r="K5" s="6" t="s">
        <v>18</v>
      </c>
      <c r="L5" s="32" t="s">
        <v>42</v>
      </c>
      <c r="M5" s="6" t="s">
        <v>18</v>
      </c>
      <c r="N5" s="32" t="s">
        <v>42</v>
      </c>
      <c r="O5" s="32" t="s">
        <v>42</v>
      </c>
      <c r="P5" s="6" t="s">
        <v>5</v>
      </c>
      <c r="Q5" s="5" t="s">
        <v>171</v>
      </c>
      <c r="R5" s="30" t="s">
        <v>287</v>
      </c>
      <c r="S5" s="13"/>
      <c r="T5" s="13"/>
      <c r="U5" s="13"/>
      <c r="V5" s="13"/>
    </row>
    <row r="6" spans="1:22" s="5" customFormat="1" ht="12.6" thickBot="1">
      <c r="A6" s="37"/>
      <c r="B6" s="33"/>
      <c r="C6" s="33" t="s">
        <v>173</v>
      </c>
      <c r="D6" s="38"/>
      <c r="E6" s="33"/>
      <c r="F6" s="39"/>
      <c r="G6" s="39"/>
      <c r="H6" s="130"/>
      <c r="I6" s="55"/>
      <c r="J6" s="40"/>
      <c r="K6" s="40"/>
      <c r="L6" s="55"/>
      <c r="M6" s="40"/>
      <c r="N6" s="55"/>
      <c r="O6" s="55"/>
      <c r="P6" s="40"/>
      <c r="Q6" s="38"/>
      <c r="R6" s="386" t="s">
        <v>9</v>
      </c>
      <c r="S6" s="13"/>
      <c r="T6" s="13"/>
      <c r="U6" s="13"/>
      <c r="V6" s="13"/>
    </row>
    <row r="7" spans="1:22" s="472" customFormat="1">
      <c r="A7" s="472">
        <v>2</v>
      </c>
      <c r="B7" s="472">
        <v>2</v>
      </c>
      <c r="C7" s="472">
        <v>5271</v>
      </c>
      <c r="D7" s="472" t="s">
        <v>390</v>
      </c>
      <c r="E7" s="472" t="s">
        <v>83</v>
      </c>
      <c r="F7" s="474" t="s">
        <v>548</v>
      </c>
      <c r="G7" s="474" t="s">
        <v>549</v>
      </c>
      <c r="H7" s="449">
        <v>100000000</v>
      </c>
      <c r="I7" s="449">
        <v>100000000</v>
      </c>
      <c r="J7" s="475">
        <v>44201</v>
      </c>
      <c r="K7" s="475">
        <f>J7+35</f>
        <v>44236</v>
      </c>
      <c r="L7" s="354">
        <v>100000000</v>
      </c>
      <c r="M7" s="475">
        <f>J7+150</f>
        <v>44351</v>
      </c>
      <c r="N7" s="354">
        <v>0</v>
      </c>
      <c r="O7" s="354">
        <f>L7-N7</f>
        <v>100000000</v>
      </c>
      <c r="P7" s="475">
        <v>44296</v>
      </c>
      <c r="Q7" s="472" t="s">
        <v>560</v>
      </c>
      <c r="R7" s="476"/>
    </row>
    <row r="8" spans="1:22" s="472" customFormat="1">
      <c r="A8" s="472">
        <v>4</v>
      </c>
      <c r="B8" s="472">
        <v>4</v>
      </c>
      <c r="C8" s="472" t="s">
        <v>530</v>
      </c>
      <c r="D8" s="472" t="s">
        <v>390</v>
      </c>
      <c r="E8" s="472" t="s">
        <v>364</v>
      </c>
      <c r="F8" s="474" t="s">
        <v>550</v>
      </c>
      <c r="G8" s="474" t="s">
        <v>152</v>
      </c>
      <c r="H8" s="449">
        <v>0</v>
      </c>
      <c r="I8" s="449"/>
      <c r="J8" s="475"/>
      <c r="K8" s="485"/>
      <c r="L8" s="354"/>
      <c r="M8" s="475"/>
      <c r="N8" s="354"/>
      <c r="O8" s="354"/>
      <c r="P8" s="475"/>
      <c r="Q8" s="472" t="s">
        <v>560</v>
      </c>
      <c r="R8" s="476"/>
    </row>
    <row r="9" spans="1:22" s="472" customFormat="1">
      <c r="A9" s="472">
        <v>7</v>
      </c>
      <c r="B9" s="472">
        <v>7</v>
      </c>
      <c r="C9" s="472">
        <v>5272</v>
      </c>
      <c r="D9" s="472" t="s">
        <v>391</v>
      </c>
      <c r="E9" s="472" t="s">
        <v>83</v>
      </c>
      <c r="F9" s="474" t="s">
        <v>551</v>
      </c>
      <c r="G9" s="474" t="s">
        <v>233</v>
      </c>
      <c r="H9" s="449">
        <v>100000000</v>
      </c>
      <c r="I9" s="449">
        <v>100000000</v>
      </c>
      <c r="J9" s="475">
        <v>44201</v>
      </c>
      <c r="K9" s="475">
        <f t="shared" ref="K9" si="0">J9+35</f>
        <v>44236</v>
      </c>
      <c r="L9" s="449">
        <v>100000000</v>
      </c>
      <c r="M9" s="475">
        <f>J9+150</f>
        <v>44351</v>
      </c>
      <c r="N9" s="538">
        <v>99998395.200000003</v>
      </c>
      <c r="O9" s="538">
        <f t="shared" ref="O9:O16" si="1">L9-N9</f>
        <v>1604.7999999970198</v>
      </c>
      <c r="P9" s="475">
        <v>44348</v>
      </c>
      <c r="Q9" s="472" t="s">
        <v>560</v>
      </c>
      <c r="R9" s="476"/>
    </row>
    <row r="10" spans="1:22" s="13" customFormat="1">
      <c r="A10" s="13">
        <v>10</v>
      </c>
      <c r="B10" s="13">
        <v>14</v>
      </c>
      <c r="C10" s="13">
        <v>5277</v>
      </c>
      <c r="D10" s="13" t="s">
        <v>390</v>
      </c>
      <c r="E10" s="13" t="s">
        <v>158</v>
      </c>
      <c r="F10" s="36" t="s">
        <v>552</v>
      </c>
      <c r="G10" s="36" t="s">
        <v>553</v>
      </c>
      <c r="H10" s="425">
        <v>25000000</v>
      </c>
      <c r="I10" s="425">
        <f>H10</f>
        <v>25000000</v>
      </c>
      <c r="J10" s="11">
        <v>44205</v>
      </c>
      <c r="K10" s="11">
        <f>J10+35</f>
        <v>44240</v>
      </c>
      <c r="L10" s="289">
        <v>25000000</v>
      </c>
      <c r="M10" s="11">
        <f>J10+180</f>
        <v>44385</v>
      </c>
      <c r="N10" s="289">
        <v>0</v>
      </c>
      <c r="O10" s="289">
        <f t="shared" si="1"/>
        <v>25000000</v>
      </c>
      <c r="P10" s="11">
        <v>44342</v>
      </c>
      <c r="Q10" s="13" t="s">
        <v>210</v>
      </c>
      <c r="R10" s="445" t="s">
        <v>630</v>
      </c>
      <c r="S10" s="472" t="s">
        <v>632</v>
      </c>
    </row>
    <row r="11" spans="1:22" s="13" customFormat="1">
      <c r="A11" s="13">
        <v>11</v>
      </c>
      <c r="B11" s="13">
        <v>17</v>
      </c>
      <c r="C11" s="13">
        <v>5278</v>
      </c>
      <c r="D11" s="13" t="s">
        <v>390</v>
      </c>
      <c r="E11" s="13" t="s">
        <v>158</v>
      </c>
      <c r="F11" s="36" t="s">
        <v>554</v>
      </c>
      <c r="G11" s="36" t="s">
        <v>224</v>
      </c>
      <c r="H11" s="425">
        <v>20000000</v>
      </c>
      <c r="I11" s="425">
        <f t="shared" ref="I11:I13" si="2">H11</f>
        <v>20000000</v>
      </c>
      <c r="J11" s="11">
        <v>44205</v>
      </c>
      <c r="K11" s="11">
        <f t="shared" ref="K11:K13" si="3">J11+35</f>
        <v>44240</v>
      </c>
      <c r="L11" s="289">
        <v>20000000</v>
      </c>
      <c r="M11" s="11">
        <f t="shared" ref="M11:M13" si="4">J11+180</f>
        <v>44385</v>
      </c>
      <c r="N11" s="289">
        <v>0</v>
      </c>
      <c r="O11" s="289">
        <f t="shared" si="1"/>
        <v>20000000</v>
      </c>
      <c r="P11" s="11">
        <v>44370</v>
      </c>
      <c r="Q11" s="13" t="s">
        <v>210</v>
      </c>
      <c r="R11" s="445" t="s">
        <v>630</v>
      </c>
      <c r="S11" s="472"/>
    </row>
    <row r="12" spans="1:22" s="13" customFormat="1">
      <c r="A12" s="13">
        <v>13</v>
      </c>
      <c r="B12" s="13">
        <v>20</v>
      </c>
      <c r="C12" s="13">
        <v>5279</v>
      </c>
      <c r="D12" s="13" t="s">
        <v>390</v>
      </c>
      <c r="E12" s="13" t="s">
        <v>161</v>
      </c>
      <c r="F12" s="36" t="s">
        <v>353</v>
      </c>
      <c r="G12" s="36" t="s">
        <v>80</v>
      </c>
      <c r="H12" s="425">
        <v>12000000</v>
      </c>
      <c r="I12" s="425">
        <f t="shared" si="2"/>
        <v>12000000</v>
      </c>
      <c r="J12" s="11">
        <v>44205</v>
      </c>
      <c r="K12" s="11">
        <f t="shared" si="3"/>
        <v>44240</v>
      </c>
      <c r="L12" s="289">
        <v>12000000</v>
      </c>
      <c r="M12" s="11">
        <f t="shared" si="4"/>
        <v>44385</v>
      </c>
      <c r="N12" s="289">
        <v>0</v>
      </c>
      <c r="O12" s="289">
        <f t="shared" si="1"/>
        <v>12000000</v>
      </c>
      <c r="P12" s="11">
        <v>44336</v>
      </c>
      <c r="Q12" s="13" t="s">
        <v>210</v>
      </c>
      <c r="R12" s="445" t="s">
        <v>630</v>
      </c>
      <c r="S12" s="472" t="s">
        <v>633</v>
      </c>
    </row>
    <row r="13" spans="1:22" s="13" customFormat="1">
      <c r="A13" s="13">
        <v>14</v>
      </c>
      <c r="B13" s="13">
        <v>22</v>
      </c>
      <c r="C13" s="13">
        <v>5280</v>
      </c>
      <c r="D13" s="13" t="s">
        <v>390</v>
      </c>
      <c r="E13" s="13" t="s">
        <v>158</v>
      </c>
      <c r="F13" s="36" t="s">
        <v>555</v>
      </c>
      <c r="G13" s="36" t="s">
        <v>556</v>
      </c>
      <c r="H13" s="425">
        <v>25000000</v>
      </c>
      <c r="I13" s="425">
        <f t="shared" si="2"/>
        <v>25000000</v>
      </c>
      <c r="J13" s="11">
        <v>44205</v>
      </c>
      <c r="K13" s="11">
        <f t="shared" si="3"/>
        <v>44240</v>
      </c>
      <c r="L13" s="289">
        <v>25000000</v>
      </c>
      <c r="M13" s="11">
        <f t="shared" si="4"/>
        <v>44385</v>
      </c>
      <c r="N13" s="289">
        <v>0</v>
      </c>
      <c r="O13" s="289">
        <f t="shared" si="1"/>
        <v>25000000</v>
      </c>
      <c r="P13" s="11">
        <v>44281</v>
      </c>
      <c r="Q13" s="13" t="s">
        <v>210</v>
      </c>
      <c r="R13" s="445" t="s">
        <v>630</v>
      </c>
    </row>
    <row r="14" spans="1:22" s="472" customFormat="1">
      <c r="A14" s="472">
        <v>15</v>
      </c>
      <c r="B14" s="472">
        <v>15</v>
      </c>
      <c r="C14" s="472">
        <v>5281</v>
      </c>
      <c r="D14" s="472" t="s">
        <v>390</v>
      </c>
      <c r="E14" s="472" t="s">
        <v>83</v>
      </c>
      <c r="F14" s="474" t="s">
        <v>401</v>
      </c>
      <c r="G14" s="474" t="s">
        <v>402</v>
      </c>
      <c r="H14" s="449">
        <v>50000000</v>
      </c>
      <c r="I14" s="449">
        <f>H14</f>
        <v>50000000</v>
      </c>
      <c r="J14" s="475">
        <v>44205</v>
      </c>
      <c r="K14" s="475">
        <f>J14+35</f>
        <v>44240</v>
      </c>
      <c r="L14" s="354">
        <v>50000000</v>
      </c>
      <c r="M14" s="475">
        <f>J14+150</f>
        <v>44355</v>
      </c>
      <c r="N14" s="354">
        <v>0</v>
      </c>
      <c r="O14" s="354">
        <f t="shared" si="1"/>
        <v>50000000</v>
      </c>
      <c r="P14" s="475">
        <v>44310</v>
      </c>
      <c r="Q14" s="472" t="s">
        <v>560</v>
      </c>
      <c r="R14" s="476"/>
    </row>
    <row r="15" spans="1:22" s="13" customFormat="1">
      <c r="A15" s="13">
        <v>18</v>
      </c>
      <c r="B15" s="13">
        <v>33</v>
      </c>
      <c r="C15" s="13">
        <v>5285</v>
      </c>
      <c r="D15" s="13" t="s">
        <v>391</v>
      </c>
      <c r="E15" s="13" t="s">
        <v>314</v>
      </c>
      <c r="F15" s="36" t="s">
        <v>557</v>
      </c>
      <c r="G15" s="36" t="s">
        <v>80</v>
      </c>
      <c r="H15" s="425">
        <v>30000000</v>
      </c>
      <c r="I15" s="289">
        <f>H15</f>
        <v>30000000</v>
      </c>
      <c r="J15" s="11">
        <v>44208</v>
      </c>
      <c r="K15" s="11">
        <f>J15+35</f>
        <v>44243</v>
      </c>
      <c r="L15" s="289">
        <v>30000000</v>
      </c>
      <c r="M15" s="11">
        <f>J15+180</f>
        <v>44388</v>
      </c>
      <c r="N15" s="289">
        <v>12241000</v>
      </c>
      <c r="O15" s="289">
        <f t="shared" si="1"/>
        <v>17759000</v>
      </c>
      <c r="P15" s="11">
        <v>44365</v>
      </c>
      <c r="Q15" s="13" t="s">
        <v>216</v>
      </c>
      <c r="R15" s="445" t="s">
        <v>631</v>
      </c>
    </row>
    <row r="16" spans="1:22" s="13" customFormat="1">
      <c r="A16" s="13">
        <v>19</v>
      </c>
      <c r="B16" s="13">
        <v>36</v>
      </c>
      <c r="C16" s="13">
        <v>5286</v>
      </c>
      <c r="D16" s="13" t="s">
        <v>391</v>
      </c>
      <c r="E16" s="13" t="s">
        <v>225</v>
      </c>
      <c r="F16" s="36" t="s">
        <v>347</v>
      </c>
      <c r="G16" s="36" t="s">
        <v>348</v>
      </c>
      <c r="H16" s="425">
        <v>35000000</v>
      </c>
      <c r="I16" s="425">
        <f>H16</f>
        <v>35000000</v>
      </c>
      <c r="J16" s="11">
        <v>44208</v>
      </c>
      <c r="K16" s="11">
        <f>J16+35</f>
        <v>44243</v>
      </c>
      <c r="L16" s="289">
        <v>35000000</v>
      </c>
      <c r="M16" s="11">
        <f>J16+180</f>
        <v>44388</v>
      </c>
      <c r="N16" s="289">
        <v>22425000</v>
      </c>
      <c r="O16" s="289">
        <f t="shared" si="1"/>
        <v>12575000</v>
      </c>
      <c r="P16" s="11">
        <v>44378</v>
      </c>
      <c r="Q16" s="13" t="s">
        <v>216</v>
      </c>
      <c r="R16" s="445" t="s">
        <v>629</v>
      </c>
    </row>
    <row r="17" spans="1:19" s="13" customFormat="1">
      <c r="A17" s="13">
        <v>23</v>
      </c>
      <c r="B17" s="13">
        <v>44</v>
      </c>
      <c r="C17" s="13">
        <v>5287</v>
      </c>
      <c r="D17" s="13" t="s">
        <v>390</v>
      </c>
      <c r="E17" s="13" t="s">
        <v>276</v>
      </c>
      <c r="F17" s="36" t="s">
        <v>351</v>
      </c>
      <c r="G17" s="36" t="s">
        <v>79</v>
      </c>
      <c r="H17" s="425">
        <v>35000000</v>
      </c>
      <c r="I17" s="425">
        <f>H17</f>
        <v>35000000</v>
      </c>
      <c r="J17" s="11">
        <v>44208</v>
      </c>
      <c r="K17" s="11">
        <f>J17+35</f>
        <v>44243</v>
      </c>
      <c r="L17" s="289">
        <v>35000000</v>
      </c>
      <c r="M17" s="11">
        <f>J17+180</f>
        <v>44388</v>
      </c>
      <c r="N17" s="289">
        <v>0</v>
      </c>
      <c r="O17" s="289">
        <f>L17-N17</f>
        <v>35000000</v>
      </c>
      <c r="P17" s="11">
        <v>44307</v>
      </c>
      <c r="Q17" s="13" t="s">
        <v>209</v>
      </c>
      <c r="R17" s="445" t="s">
        <v>629</v>
      </c>
    </row>
    <row r="18" spans="1:19" s="472" customFormat="1">
      <c r="A18" s="472">
        <v>24</v>
      </c>
      <c r="B18" s="472">
        <v>24</v>
      </c>
      <c r="C18" s="472" t="s">
        <v>531</v>
      </c>
      <c r="D18" s="472" t="s">
        <v>390</v>
      </c>
      <c r="E18" s="472" t="s">
        <v>83</v>
      </c>
      <c r="F18" s="474" t="s">
        <v>350</v>
      </c>
      <c r="G18" s="474" t="s">
        <v>82</v>
      </c>
      <c r="H18" s="449">
        <v>0</v>
      </c>
      <c r="I18" s="449"/>
      <c r="J18" s="475"/>
      <c r="K18" s="475"/>
      <c r="L18" s="354"/>
      <c r="M18" s="475"/>
      <c r="N18" s="354"/>
      <c r="O18" s="354"/>
      <c r="P18" s="475"/>
      <c r="Q18" s="472" t="s">
        <v>560</v>
      </c>
      <c r="R18" s="476"/>
    </row>
    <row r="19" spans="1:19" s="13" customFormat="1">
      <c r="A19" s="13">
        <v>25</v>
      </c>
      <c r="B19" s="13">
        <v>45</v>
      </c>
      <c r="C19" s="13">
        <v>5288</v>
      </c>
      <c r="D19" s="13" t="s">
        <v>390</v>
      </c>
      <c r="E19" s="13" t="s">
        <v>158</v>
      </c>
      <c r="F19" s="36" t="s">
        <v>558</v>
      </c>
      <c r="G19" s="36" t="s">
        <v>559</v>
      </c>
      <c r="H19" s="425">
        <v>12000000</v>
      </c>
      <c r="I19" s="289">
        <f>H19</f>
        <v>12000000</v>
      </c>
      <c r="J19" s="11">
        <v>44208</v>
      </c>
      <c r="K19" s="11">
        <f>J19+35</f>
        <v>44243</v>
      </c>
      <c r="L19" s="289">
        <v>12000000</v>
      </c>
      <c r="M19" s="11">
        <f>J19+180</f>
        <v>44388</v>
      </c>
      <c r="N19" s="350">
        <v>0</v>
      </c>
      <c r="O19" s="289">
        <f>L19-N19</f>
        <v>12000000</v>
      </c>
      <c r="P19" s="11">
        <v>44365</v>
      </c>
      <c r="Q19" s="13" t="s">
        <v>210</v>
      </c>
      <c r="R19" s="445" t="s">
        <v>631</v>
      </c>
    </row>
    <row r="20" spans="1:19" s="5" customFormat="1" ht="11.4">
      <c r="A20" s="5">
        <v>27</v>
      </c>
      <c r="B20" s="5">
        <v>49</v>
      </c>
      <c r="C20" s="5">
        <v>5289</v>
      </c>
      <c r="D20" s="5" t="s">
        <v>625</v>
      </c>
      <c r="E20" s="5" t="s">
        <v>314</v>
      </c>
      <c r="F20" s="26" t="s">
        <v>561</v>
      </c>
      <c r="G20" s="26" t="s">
        <v>497</v>
      </c>
      <c r="H20" s="352">
        <v>30000000</v>
      </c>
      <c r="I20" s="352">
        <f>H20</f>
        <v>30000000</v>
      </c>
      <c r="J20" s="6">
        <v>44208</v>
      </c>
      <c r="K20" s="6">
        <f>J20+35</f>
        <v>44243</v>
      </c>
      <c r="L20" s="349">
        <v>30000000</v>
      </c>
      <c r="M20" s="6">
        <f>J20+180</f>
        <v>44388</v>
      </c>
      <c r="N20" s="349"/>
      <c r="O20" s="349"/>
      <c r="P20" s="6"/>
      <c r="Q20" s="5" t="s">
        <v>264</v>
      </c>
      <c r="R20" s="489" t="s">
        <v>631</v>
      </c>
    </row>
    <row r="21" spans="1:19" s="5" customFormat="1">
      <c r="A21" s="13">
        <v>28</v>
      </c>
      <c r="B21" s="13">
        <v>50</v>
      </c>
      <c r="C21" s="13" t="s">
        <v>532</v>
      </c>
      <c r="D21" s="13" t="s">
        <v>390</v>
      </c>
      <c r="E21" s="13" t="s">
        <v>314</v>
      </c>
      <c r="F21" s="36" t="s">
        <v>562</v>
      </c>
      <c r="G21" s="36" t="s">
        <v>80</v>
      </c>
      <c r="H21" s="425">
        <v>0</v>
      </c>
      <c r="I21" s="289"/>
      <c r="J21" s="11"/>
      <c r="K21" s="11"/>
      <c r="L21" s="289"/>
      <c r="M21" s="11"/>
      <c r="N21" s="289"/>
      <c r="O21" s="289"/>
      <c r="P21" s="11"/>
      <c r="Q21" s="13" t="s">
        <v>264</v>
      </c>
      <c r="R21" s="93" t="s">
        <v>628</v>
      </c>
      <c r="S21" s="13"/>
    </row>
    <row r="22" spans="1:19" s="5" customFormat="1" ht="11.4">
      <c r="A22" s="5">
        <v>32</v>
      </c>
      <c r="B22" s="5">
        <v>54</v>
      </c>
      <c r="C22" s="5">
        <v>5294</v>
      </c>
      <c r="D22" s="5" t="s">
        <v>625</v>
      </c>
      <c r="E22" s="5" t="s">
        <v>314</v>
      </c>
      <c r="F22" s="26" t="s">
        <v>359</v>
      </c>
      <c r="G22" s="26" t="s">
        <v>80</v>
      </c>
      <c r="H22" s="352">
        <v>20000000</v>
      </c>
      <c r="I22" s="349">
        <f>H22</f>
        <v>20000000</v>
      </c>
      <c r="J22" s="6">
        <v>44209</v>
      </c>
      <c r="K22" s="6">
        <f>J22+35</f>
        <v>44244</v>
      </c>
      <c r="L22" s="349">
        <v>20000000</v>
      </c>
      <c r="M22" s="6">
        <f>J22+180</f>
        <v>44389</v>
      </c>
      <c r="N22" s="428"/>
      <c r="O22" s="349"/>
      <c r="P22" s="6"/>
      <c r="Q22" s="5" t="s">
        <v>264</v>
      </c>
      <c r="R22" s="489" t="s">
        <v>637</v>
      </c>
    </row>
    <row r="23" spans="1:19" s="13" customFormat="1">
      <c r="A23" s="13">
        <v>33</v>
      </c>
      <c r="B23" s="13">
        <v>55</v>
      </c>
      <c r="C23" s="13">
        <v>5295</v>
      </c>
      <c r="D23" s="13" t="s">
        <v>390</v>
      </c>
      <c r="E23" s="13" t="s">
        <v>314</v>
      </c>
      <c r="F23" s="36" t="s">
        <v>357</v>
      </c>
      <c r="G23" s="36" t="s">
        <v>358</v>
      </c>
      <c r="H23" s="425">
        <v>40000000</v>
      </c>
      <c r="I23" s="289">
        <f t="shared" ref="I23:I25" si="5">H23</f>
        <v>40000000</v>
      </c>
      <c r="J23" s="11">
        <v>44209</v>
      </c>
      <c r="K23" s="11">
        <f t="shared" ref="K23:K28" si="6">J23+35</f>
        <v>44244</v>
      </c>
      <c r="L23" s="289">
        <v>40000000</v>
      </c>
      <c r="M23" s="11">
        <f>J23+180</f>
        <v>44389</v>
      </c>
      <c r="N23" s="289">
        <v>0</v>
      </c>
      <c r="O23" s="289">
        <f>L23-N23</f>
        <v>40000000</v>
      </c>
      <c r="P23" s="11">
        <v>44289</v>
      </c>
      <c r="Q23" s="13" t="s">
        <v>264</v>
      </c>
      <c r="R23" s="445" t="s">
        <v>637</v>
      </c>
    </row>
    <row r="24" spans="1:19" s="13" customFormat="1">
      <c r="A24" s="13">
        <v>39</v>
      </c>
      <c r="B24" s="13">
        <v>60</v>
      </c>
      <c r="C24" s="13">
        <v>5296</v>
      </c>
      <c r="D24" s="13" t="s">
        <v>390</v>
      </c>
      <c r="E24" s="13" t="s">
        <v>231</v>
      </c>
      <c r="F24" s="36" t="s">
        <v>563</v>
      </c>
      <c r="G24" s="36" t="s">
        <v>142</v>
      </c>
      <c r="H24" s="425">
        <v>40000000</v>
      </c>
      <c r="I24" s="289">
        <f t="shared" si="5"/>
        <v>40000000</v>
      </c>
      <c r="J24" s="11">
        <v>44209</v>
      </c>
      <c r="K24" s="11">
        <f t="shared" si="6"/>
        <v>44244</v>
      </c>
      <c r="L24" s="289">
        <v>40000000</v>
      </c>
      <c r="M24" s="11">
        <f t="shared" ref="M24:M28" si="7">J24+180</f>
        <v>44389</v>
      </c>
      <c r="N24" s="350">
        <v>0</v>
      </c>
      <c r="O24" s="289">
        <f>L24-N24</f>
        <v>40000000</v>
      </c>
      <c r="P24" s="11">
        <v>44336</v>
      </c>
      <c r="Q24" s="13" t="s">
        <v>264</v>
      </c>
      <c r="R24" s="445" t="s">
        <v>637</v>
      </c>
    </row>
    <row r="25" spans="1:19" s="13" customFormat="1">
      <c r="A25" s="13">
        <v>41</v>
      </c>
      <c r="B25" s="13">
        <v>63</v>
      </c>
      <c r="C25" s="13">
        <v>5297</v>
      </c>
      <c r="D25" s="13" t="s">
        <v>390</v>
      </c>
      <c r="E25" s="13" t="s">
        <v>314</v>
      </c>
      <c r="F25" s="36" t="s">
        <v>368</v>
      </c>
      <c r="G25" s="36" t="s">
        <v>80</v>
      </c>
      <c r="H25" s="425">
        <v>50000000</v>
      </c>
      <c r="I25" s="289">
        <f t="shared" si="5"/>
        <v>50000000</v>
      </c>
      <c r="J25" s="11">
        <v>44209</v>
      </c>
      <c r="K25" s="11">
        <f t="shared" si="6"/>
        <v>44244</v>
      </c>
      <c r="L25" s="289">
        <v>50000000</v>
      </c>
      <c r="M25" s="11">
        <f t="shared" si="7"/>
        <v>44389</v>
      </c>
      <c r="N25" s="289">
        <v>0</v>
      </c>
      <c r="O25" s="289">
        <f>L25-N25</f>
        <v>50000000</v>
      </c>
      <c r="P25" s="11">
        <v>44310</v>
      </c>
      <c r="Q25" s="13" t="s">
        <v>264</v>
      </c>
      <c r="R25" s="445" t="s">
        <v>637</v>
      </c>
    </row>
    <row r="26" spans="1:19" s="13" customFormat="1">
      <c r="A26" s="13">
        <v>48</v>
      </c>
      <c r="B26" s="13">
        <v>70</v>
      </c>
      <c r="C26" s="13">
        <v>5300</v>
      </c>
      <c r="D26" s="13" t="s">
        <v>390</v>
      </c>
      <c r="E26" s="13" t="s">
        <v>278</v>
      </c>
      <c r="F26" s="36" t="s">
        <v>564</v>
      </c>
      <c r="G26" s="36" t="s">
        <v>79</v>
      </c>
      <c r="H26" s="425">
        <v>40000000</v>
      </c>
      <c r="I26" s="425">
        <v>40000000</v>
      </c>
      <c r="J26" s="11">
        <v>44210</v>
      </c>
      <c r="K26" s="11">
        <f t="shared" si="6"/>
        <v>44245</v>
      </c>
      <c r="L26" s="289">
        <v>40000000</v>
      </c>
      <c r="M26" s="11">
        <f t="shared" si="7"/>
        <v>44390</v>
      </c>
      <c r="N26" s="289">
        <v>0</v>
      </c>
      <c r="O26" s="289">
        <f>L26-N26</f>
        <v>40000000</v>
      </c>
      <c r="P26" s="11">
        <v>44357</v>
      </c>
      <c r="Q26" s="13" t="s">
        <v>264</v>
      </c>
      <c r="R26" s="445" t="s">
        <v>639</v>
      </c>
    </row>
    <row r="27" spans="1:19" s="5" customFormat="1" ht="11.4">
      <c r="A27" s="5">
        <v>49</v>
      </c>
      <c r="B27" s="5">
        <v>72</v>
      </c>
      <c r="C27" s="5">
        <v>5301</v>
      </c>
      <c r="D27" s="5" t="s">
        <v>625</v>
      </c>
      <c r="E27" s="5" t="s">
        <v>314</v>
      </c>
      <c r="F27" s="26" t="s">
        <v>565</v>
      </c>
      <c r="G27" s="26" t="s">
        <v>80</v>
      </c>
      <c r="H27" s="352">
        <v>28000000</v>
      </c>
      <c r="I27" s="352">
        <f>H27</f>
        <v>28000000</v>
      </c>
      <c r="J27" s="6">
        <v>44210</v>
      </c>
      <c r="K27" s="6">
        <f t="shared" si="6"/>
        <v>44245</v>
      </c>
      <c r="L27" s="349">
        <v>28000000</v>
      </c>
      <c r="M27" s="6">
        <f t="shared" si="7"/>
        <v>44390</v>
      </c>
      <c r="N27" s="349"/>
      <c r="O27" s="349"/>
      <c r="P27" s="6"/>
      <c r="Q27" s="5" t="s">
        <v>264</v>
      </c>
      <c r="R27" s="489" t="s">
        <v>639</v>
      </c>
    </row>
    <row r="28" spans="1:19" s="13" customFormat="1">
      <c r="A28" s="13">
        <v>52</v>
      </c>
      <c r="B28" s="13">
        <v>28</v>
      </c>
      <c r="C28" s="13">
        <v>5302</v>
      </c>
      <c r="D28" s="13" t="s">
        <v>390</v>
      </c>
      <c r="E28" s="13" t="s">
        <v>158</v>
      </c>
      <c r="F28" s="36" t="s">
        <v>566</v>
      </c>
      <c r="G28" s="36" t="s">
        <v>567</v>
      </c>
      <c r="H28" s="425">
        <v>25000000</v>
      </c>
      <c r="I28" s="289">
        <f>H28</f>
        <v>25000000</v>
      </c>
      <c r="J28" s="11">
        <v>44210</v>
      </c>
      <c r="K28" s="11">
        <f t="shared" si="6"/>
        <v>44245</v>
      </c>
      <c r="L28" s="289">
        <v>25000000</v>
      </c>
      <c r="M28" s="11">
        <f t="shared" si="7"/>
        <v>44390</v>
      </c>
      <c r="N28" s="289">
        <v>0</v>
      </c>
      <c r="O28" s="289">
        <f>L28-N28</f>
        <v>25000000</v>
      </c>
      <c r="P28" s="11">
        <v>44322</v>
      </c>
      <c r="Q28" s="13" t="s">
        <v>241</v>
      </c>
      <c r="R28" s="445" t="s">
        <v>639</v>
      </c>
      <c r="S28" s="43"/>
    </row>
    <row r="29" spans="1:19" s="13" customFormat="1">
      <c r="A29" s="13">
        <v>54</v>
      </c>
      <c r="B29" s="13">
        <v>31</v>
      </c>
      <c r="C29" s="13" t="s">
        <v>533</v>
      </c>
      <c r="D29" s="13" t="s">
        <v>390</v>
      </c>
      <c r="E29" s="13" t="s">
        <v>568</v>
      </c>
      <c r="F29" s="36" t="s">
        <v>569</v>
      </c>
      <c r="G29" s="36" t="s">
        <v>570</v>
      </c>
      <c r="H29" s="425">
        <v>0</v>
      </c>
      <c r="I29" s="289"/>
      <c r="J29" s="11"/>
      <c r="K29" s="11"/>
      <c r="L29" s="289"/>
      <c r="M29" s="11"/>
      <c r="N29" s="289"/>
      <c r="O29" s="289"/>
      <c r="P29" s="11"/>
      <c r="Q29" s="13" t="s">
        <v>241</v>
      </c>
      <c r="R29" s="93" t="s">
        <v>640</v>
      </c>
    </row>
    <row r="30" spans="1:19" s="5" customFormat="1" ht="11.4">
      <c r="A30" s="5">
        <v>56</v>
      </c>
      <c r="B30" s="5">
        <v>78</v>
      </c>
      <c r="C30" s="5">
        <v>5303</v>
      </c>
      <c r="D30" s="5" t="s">
        <v>625</v>
      </c>
      <c r="E30" s="5" t="s">
        <v>314</v>
      </c>
      <c r="F30" s="26" t="s">
        <v>363</v>
      </c>
      <c r="G30" s="26" t="s">
        <v>80</v>
      </c>
      <c r="H30" s="352">
        <v>20000000</v>
      </c>
      <c r="I30" s="352">
        <f>H30</f>
        <v>20000000</v>
      </c>
      <c r="J30" s="6">
        <v>44210</v>
      </c>
      <c r="K30" s="6">
        <f>J30+35</f>
        <v>44245</v>
      </c>
      <c r="L30" s="349">
        <v>10000000</v>
      </c>
      <c r="M30" s="6">
        <f>J30+180</f>
        <v>44390</v>
      </c>
      <c r="N30" s="349"/>
      <c r="O30" s="349">
        <f>I30-L30</f>
        <v>10000000</v>
      </c>
      <c r="P30" s="6">
        <v>44239</v>
      </c>
      <c r="Q30" s="5" t="s">
        <v>264</v>
      </c>
      <c r="R30" s="489" t="s">
        <v>639</v>
      </c>
    </row>
    <row r="31" spans="1:19" s="13" customFormat="1">
      <c r="A31" s="13">
        <v>60</v>
      </c>
      <c r="B31" s="13">
        <v>81</v>
      </c>
      <c r="C31" s="13">
        <v>5304</v>
      </c>
      <c r="D31" s="13" t="s">
        <v>390</v>
      </c>
      <c r="E31" s="13" t="s">
        <v>158</v>
      </c>
      <c r="F31" s="36" t="s">
        <v>571</v>
      </c>
      <c r="G31" s="36" t="s">
        <v>214</v>
      </c>
      <c r="H31" s="425">
        <v>25000000</v>
      </c>
      <c r="I31" s="425">
        <f>H31</f>
        <v>25000000</v>
      </c>
      <c r="J31" s="11">
        <v>44210</v>
      </c>
      <c r="K31" s="11">
        <f>J31+35</f>
        <v>44245</v>
      </c>
      <c r="L31" s="289">
        <v>25000000</v>
      </c>
      <c r="M31" s="11">
        <f>J31+180</f>
        <v>44390</v>
      </c>
      <c r="N31" s="289">
        <v>0</v>
      </c>
      <c r="O31" s="289">
        <f>L31-N31</f>
        <v>25000000</v>
      </c>
      <c r="P31" s="11">
        <v>44310</v>
      </c>
      <c r="Q31" s="13" t="s">
        <v>264</v>
      </c>
      <c r="R31" s="445" t="s">
        <v>639</v>
      </c>
    </row>
    <row r="32" spans="1:19" s="472" customFormat="1">
      <c r="A32" s="472">
        <v>62</v>
      </c>
      <c r="B32" s="472">
        <v>62</v>
      </c>
      <c r="C32" s="472">
        <v>5305</v>
      </c>
      <c r="D32" s="472" t="s">
        <v>391</v>
      </c>
      <c r="E32" s="472" t="s">
        <v>83</v>
      </c>
      <c r="F32" s="474" t="s">
        <v>572</v>
      </c>
      <c r="G32" s="474" t="s">
        <v>355</v>
      </c>
      <c r="H32" s="449">
        <v>50000000</v>
      </c>
      <c r="I32" s="449">
        <f>H32</f>
        <v>50000000</v>
      </c>
      <c r="J32" s="475">
        <v>44210</v>
      </c>
      <c r="K32" s="475">
        <f>J32+35</f>
        <v>44245</v>
      </c>
      <c r="L32" s="354">
        <v>50000000</v>
      </c>
      <c r="M32" s="475">
        <f>J32+150</f>
        <v>44360</v>
      </c>
      <c r="N32" s="354">
        <v>50000000</v>
      </c>
      <c r="O32" s="354">
        <f>L32-N32</f>
        <v>0</v>
      </c>
      <c r="P32" s="475">
        <v>44355</v>
      </c>
      <c r="Q32" s="472" t="s">
        <v>560</v>
      </c>
      <c r="R32" s="476"/>
    </row>
    <row r="33" spans="1:19" s="5" customFormat="1">
      <c r="A33" s="13">
        <v>63</v>
      </c>
      <c r="B33" s="13">
        <v>83</v>
      </c>
      <c r="C33" s="13" t="s">
        <v>534</v>
      </c>
      <c r="D33" s="13" t="s">
        <v>390</v>
      </c>
      <c r="E33" s="13" t="s">
        <v>573</v>
      </c>
      <c r="F33" s="36" t="s">
        <v>574</v>
      </c>
      <c r="G33" s="36" t="s">
        <v>95</v>
      </c>
      <c r="H33" s="425">
        <v>0</v>
      </c>
      <c r="I33" s="425"/>
      <c r="J33" s="11"/>
      <c r="K33" s="11"/>
      <c r="L33" s="289"/>
      <c r="M33" s="11"/>
      <c r="N33" s="289"/>
      <c r="O33" s="289"/>
      <c r="P33" s="11"/>
      <c r="Q33" s="13" t="s">
        <v>264</v>
      </c>
      <c r="R33" s="93" t="s">
        <v>642</v>
      </c>
      <c r="S33" s="13"/>
    </row>
    <row r="34" spans="1:19" s="13" customFormat="1">
      <c r="A34" s="13">
        <v>64</v>
      </c>
      <c r="B34" s="13">
        <v>84</v>
      </c>
      <c r="C34" s="13" t="s">
        <v>535</v>
      </c>
      <c r="D34" s="13" t="s">
        <v>390</v>
      </c>
      <c r="E34" s="13" t="s">
        <v>158</v>
      </c>
      <c r="F34" s="36" t="s">
        <v>575</v>
      </c>
      <c r="G34" s="36" t="s">
        <v>576</v>
      </c>
      <c r="H34" s="425">
        <v>0</v>
      </c>
      <c r="I34" s="425"/>
      <c r="J34" s="11"/>
      <c r="K34" s="11"/>
      <c r="L34" s="289"/>
      <c r="M34" s="11"/>
      <c r="N34" s="289"/>
      <c r="O34" s="289"/>
      <c r="P34" s="11"/>
      <c r="Q34" s="13" t="s">
        <v>264</v>
      </c>
      <c r="R34" s="93" t="s">
        <v>636</v>
      </c>
    </row>
    <row r="35" spans="1:19" s="5" customFormat="1">
      <c r="A35" s="13">
        <v>66</v>
      </c>
      <c r="B35" s="13">
        <v>86</v>
      </c>
      <c r="C35" s="13" t="s">
        <v>536</v>
      </c>
      <c r="D35" s="13" t="s">
        <v>390</v>
      </c>
      <c r="E35" s="13" t="s">
        <v>314</v>
      </c>
      <c r="F35" s="36" t="s">
        <v>577</v>
      </c>
      <c r="G35" s="36" t="s">
        <v>80</v>
      </c>
      <c r="H35" s="425">
        <v>0</v>
      </c>
      <c r="I35" s="425"/>
      <c r="J35" s="11"/>
      <c r="K35" s="11"/>
      <c r="L35" s="289"/>
      <c r="M35" s="11"/>
      <c r="N35" s="289"/>
      <c r="O35" s="289"/>
      <c r="P35" s="11"/>
      <c r="Q35" s="13" t="s">
        <v>264</v>
      </c>
      <c r="R35" s="93" t="s">
        <v>636</v>
      </c>
      <c r="S35" s="13"/>
    </row>
    <row r="36" spans="1:19" s="5" customFormat="1">
      <c r="A36" s="13">
        <v>67</v>
      </c>
      <c r="B36" s="13">
        <v>88</v>
      </c>
      <c r="C36" s="13" t="s">
        <v>537</v>
      </c>
      <c r="D36" s="13" t="s">
        <v>390</v>
      </c>
      <c r="E36" s="13" t="s">
        <v>314</v>
      </c>
      <c r="F36" s="36" t="s">
        <v>578</v>
      </c>
      <c r="G36" s="36" t="s">
        <v>80</v>
      </c>
      <c r="H36" s="425">
        <v>0</v>
      </c>
      <c r="I36" s="425"/>
      <c r="J36" s="11"/>
      <c r="K36" s="11"/>
      <c r="L36" s="289"/>
      <c r="M36" s="11"/>
      <c r="N36" s="289"/>
      <c r="O36" s="289"/>
      <c r="P36" s="11"/>
      <c r="Q36" s="13" t="s">
        <v>264</v>
      </c>
      <c r="R36" s="93"/>
      <c r="S36" s="13"/>
    </row>
    <row r="37" spans="1:19" s="13" customFormat="1">
      <c r="A37" s="13">
        <v>68</v>
      </c>
      <c r="B37" s="13">
        <v>90</v>
      </c>
      <c r="C37" s="13">
        <v>5309</v>
      </c>
      <c r="D37" s="13" t="s">
        <v>390</v>
      </c>
      <c r="E37" s="13" t="s">
        <v>314</v>
      </c>
      <c r="F37" s="36" t="s">
        <v>362</v>
      </c>
      <c r="G37" s="36" t="s">
        <v>80</v>
      </c>
      <c r="H37" s="425">
        <v>45000000</v>
      </c>
      <c r="I37" s="425">
        <f>H37</f>
        <v>45000000</v>
      </c>
      <c r="J37" s="11">
        <v>44211</v>
      </c>
      <c r="K37" s="11">
        <f>J37+35</f>
        <v>44246</v>
      </c>
      <c r="L37" s="289">
        <v>45000000</v>
      </c>
      <c r="M37" s="11">
        <f>J37+180</f>
        <v>44391</v>
      </c>
      <c r="N37" s="289">
        <v>0</v>
      </c>
      <c r="O37" s="289">
        <f>L37-N37</f>
        <v>45000000</v>
      </c>
      <c r="P37" s="11">
        <v>44289</v>
      </c>
      <c r="Q37" s="13" t="s">
        <v>264</v>
      </c>
      <c r="R37" s="445" t="s">
        <v>641</v>
      </c>
    </row>
    <row r="38" spans="1:19" s="472" customFormat="1">
      <c r="A38" s="472">
        <v>71</v>
      </c>
      <c r="B38" s="472">
        <v>71</v>
      </c>
      <c r="C38" s="472">
        <v>5310</v>
      </c>
      <c r="D38" s="472" t="s">
        <v>390</v>
      </c>
      <c r="E38" s="472" t="s">
        <v>227</v>
      </c>
      <c r="F38" s="474" t="s">
        <v>228</v>
      </c>
      <c r="G38" s="474" t="s">
        <v>229</v>
      </c>
      <c r="H38" s="449">
        <v>80000000</v>
      </c>
      <c r="I38" s="449">
        <f>H38</f>
        <v>80000000</v>
      </c>
      <c r="J38" s="475">
        <v>44211</v>
      </c>
      <c r="K38" s="475">
        <f>J38+35</f>
        <v>44246</v>
      </c>
      <c r="L38" s="354">
        <v>0</v>
      </c>
      <c r="M38" s="475">
        <f>J38+150</f>
        <v>44361</v>
      </c>
      <c r="N38" s="354"/>
      <c r="O38" s="354">
        <f>I38-L38</f>
        <v>80000000</v>
      </c>
      <c r="P38" s="475">
        <v>44251</v>
      </c>
      <c r="Q38" s="472" t="s">
        <v>560</v>
      </c>
      <c r="R38" s="476"/>
    </row>
    <row r="39" spans="1:19" s="5" customFormat="1" ht="11.4">
      <c r="A39" s="5">
        <v>73</v>
      </c>
      <c r="B39" s="5">
        <v>94</v>
      </c>
      <c r="C39" s="5">
        <v>5311</v>
      </c>
      <c r="D39" s="5" t="s">
        <v>625</v>
      </c>
      <c r="E39" s="5" t="s">
        <v>225</v>
      </c>
      <c r="F39" s="26" t="s">
        <v>579</v>
      </c>
      <c r="G39" s="26" t="s">
        <v>580</v>
      </c>
      <c r="H39" s="352">
        <v>40000000</v>
      </c>
      <c r="I39" s="352">
        <f>H39</f>
        <v>40000000</v>
      </c>
      <c r="J39" s="6">
        <v>44212</v>
      </c>
      <c r="K39" s="6">
        <f>J39+35</f>
        <v>44247</v>
      </c>
      <c r="L39" s="349">
        <v>40000000</v>
      </c>
      <c r="M39" s="6">
        <f>J39+180</f>
        <v>44392</v>
      </c>
      <c r="N39" s="349"/>
      <c r="O39" s="349"/>
      <c r="P39" s="6"/>
      <c r="Q39" s="5" t="s">
        <v>264</v>
      </c>
      <c r="R39" s="489" t="s">
        <v>643</v>
      </c>
    </row>
    <row r="40" spans="1:19" s="5" customFormat="1">
      <c r="A40" s="13">
        <v>74</v>
      </c>
      <c r="B40" s="13">
        <v>95</v>
      </c>
      <c r="C40" s="13" t="s">
        <v>538</v>
      </c>
      <c r="D40" s="13" t="s">
        <v>390</v>
      </c>
      <c r="E40" s="13" t="s">
        <v>581</v>
      </c>
      <c r="F40" s="36" t="s">
        <v>582</v>
      </c>
      <c r="G40" s="36" t="s">
        <v>583</v>
      </c>
      <c r="H40" s="425">
        <v>0</v>
      </c>
      <c r="I40" s="289"/>
      <c r="J40" s="11"/>
      <c r="K40" s="11"/>
      <c r="L40" s="350"/>
      <c r="M40" s="11"/>
      <c r="N40" s="289"/>
      <c r="O40" s="289"/>
      <c r="P40" s="11"/>
      <c r="Q40" s="13" t="s">
        <v>264</v>
      </c>
      <c r="R40" s="93" t="s">
        <v>638</v>
      </c>
      <c r="S40" s="13"/>
    </row>
    <row r="41" spans="1:19" s="472" customFormat="1">
      <c r="A41" s="472">
        <v>75</v>
      </c>
      <c r="B41" s="472">
        <v>75</v>
      </c>
      <c r="C41" s="472">
        <v>5312</v>
      </c>
      <c r="D41" s="472" t="s">
        <v>390</v>
      </c>
      <c r="E41" s="472" t="s">
        <v>361</v>
      </c>
      <c r="F41" s="474" t="s">
        <v>584</v>
      </c>
      <c r="G41" s="474" t="s">
        <v>152</v>
      </c>
      <c r="H41" s="449">
        <v>138305473</v>
      </c>
      <c r="I41" s="354">
        <f>H41</f>
        <v>138305473</v>
      </c>
      <c r="J41" s="475">
        <v>44212</v>
      </c>
      <c r="K41" s="475">
        <f>J41+35</f>
        <v>44247</v>
      </c>
      <c r="L41" s="354">
        <v>138300000</v>
      </c>
      <c r="M41" s="475">
        <f>J41+150</f>
        <v>44362</v>
      </c>
      <c r="N41" s="354">
        <v>0</v>
      </c>
      <c r="O41" s="354">
        <f>I41-N41</f>
        <v>138305473</v>
      </c>
      <c r="P41" s="475">
        <v>44271</v>
      </c>
      <c r="Q41" s="472" t="s">
        <v>560</v>
      </c>
      <c r="R41" s="476"/>
    </row>
    <row r="42" spans="1:19" s="13" customFormat="1">
      <c r="A42" s="13">
        <v>76</v>
      </c>
      <c r="B42" s="13">
        <v>96</v>
      </c>
      <c r="C42" s="13">
        <v>5313</v>
      </c>
      <c r="D42" s="13" t="s">
        <v>390</v>
      </c>
      <c r="E42" s="13" t="s">
        <v>225</v>
      </c>
      <c r="F42" s="36" t="s">
        <v>585</v>
      </c>
      <c r="G42" s="36" t="s">
        <v>586</v>
      </c>
      <c r="H42" s="425">
        <v>50000000</v>
      </c>
      <c r="I42" s="289">
        <f>H42</f>
        <v>50000000</v>
      </c>
      <c r="J42" s="11">
        <v>44218</v>
      </c>
      <c r="K42" s="11">
        <f>J42+35</f>
        <v>44253</v>
      </c>
      <c r="L42" s="289">
        <v>0</v>
      </c>
      <c r="M42" s="11">
        <f>J42+180</f>
        <v>44398</v>
      </c>
      <c r="N42" s="289"/>
      <c r="O42" s="289">
        <f>I42-L42</f>
        <v>50000000</v>
      </c>
      <c r="P42" s="11">
        <v>44244</v>
      </c>
      <c r="Q42" s="13" t="s">
        <v>264</v>
      </c>
      <c r="R42" s="445" t="s">
        <v>650</v>
      </c>
    </row>
    <row r="43" spans="1:19" s="13" customFormat="1">
      <c r="A43" s="13">
        <v>79</v>
      </c>
      <c r="B43" s="13">
        <v>99</v>
      </c>
      <c r="C43" s="13" t="s">
        <v>539</v>
      </c>
      <c r="D43" s="13" t="s">
        <v>390</v>
      </c>
      <c r="E43" s="13" t="s">
        <v>153</v>
      </c>
      <c r="F43" s="36" t="s">
        <v>587</v>
      </c>
      <c r="G43" s="36" t="s">
        <v>81</v>
      </c>
      <c r="H43" s="425">
        <v>0</v>
      </c>
      <c r="I43" s="289"/>
      <c r="J43" s="11"/>
      <c r="K43" s="11"/>
      <c r="L43" s="289"/>
      <c r="M43" s="11"/>
      <c r="N43" s="289"/>
      <c r="O43" s="289"/>
      <c r="P43" s="11"/>
      <c r="Q43" s="13" t="s">
        <v>264</v>
      </c>
      <c r="R43" s="93" t="s">
        <v>644</v>
      </c>
    </row>
    <row r="44" spans="1:19" s="13" customFormat="1">
      <c r="A44" s="13">
        <v>84</v>
      </c>
      <c r="B44" s="13">
        <v>105</v>
      </c>
      <c r="C44" s="13">
        <v>5324</v>
      </c>
      <c r="D44" s="13" t="s">
        <v>390</v>
      </c>
      <c r="E44" s="13" t="s">
        <v>225</v>
      </c>
      <c r="F44" s="36" t="s">
        <v>588</v>
      </c>
      <c r="G44" s="36" t="s">
        <v>348</v>
      </c>
      <c r="H44" s="425">
        <v>69152737</v>
      </c>
      <c r="I44" s="289">
        <f>H44</f>
        <v>69152737</v>
      </c>
      <c r="J44" s="11">
        <v>44247</v>
      </c>
      <c r="K44" s="11">
        <f>J44+35</f>
        <v>44282</v>
      </c>
      <c r="L44" s="425">
        <v>69152737</v>
      </c>
      <c r="M44" s="11">
        <f>J44+180</f>
        <v>44427</v>
      </c>
      <c r="N44" s="289">
        <v>0</v>
      </c>
      <c r="O44" s="289">
        <f>L44-N44</f>
        <v>69152737</v>
      </c>
      <c r="P44" s="11">
        <v>44322</v>
      </c>
      <c r="Q44" s="13" t="s">
        <v>272</v>
      </c>
      <c r="R44" s="93"/>
    </row>
    <row r="45" spans="1:19" s="13" customFormat="1">
      <c r="A45" s="13">
        <v>85</v>
      </c>
      <c r="B45" s="13">
        <v>9</v>
      </c>
      <c r="C45" s="13" t="s">
        <v>540</v>
      </c>
      <c r="D45" s="13" t="s">
        <v>390</v>
      </c>
      <c r="E45" s="13" t="s">
        <v>223</v>
      </c>
      <c r="F45" s="36" t="s">
        <v>589</v>
      </c>
      <c r="G45" s="36" t="s">
        <v>81</v>
      </c>
      <c r="H45" s="425">
        <v>0</v>
      </c>
      <c r="I45" s="289"/>
      <c r="J45" s="11"/>
      <c r="K45" s="11"/>
      <c r="L45" s="350"/>
      <c r="M45" s="11"/>
      <c r="N45" s="289"/>
      <c r="O45" s="289"/>
      <c r="P45" s="11"/>
      <c r="Q45" s="13" t="s">
        <v>242</v>
      </c>
      <c r="R45" s="93"/>
    </row>
    <row r="46" spans="1:19" s="13" customFormat="1">
      <c r="A46" s="13">
        <v>86</v>
      </c>
      <c r="B46" s="13">
        <v>10</v>
      </c>
      <c r="C46" s="13">
        <v>5325</v>
      </c>
      <c r="D46" s="13" t="s">
        <v>390</v>
      </c>
      <c r="E46" s="13" t="s">
        <v>153</v>
      </c>
      <c r="F46" s="36" t="s">
        <v>590</v>
      </c>
      <c r="G46" s="36" t="s">
        <v>81</v>
      </c>
      <c r="H46" s="425">
        <v>40000000</v>
      </c>
      <c r="I46" s="289">
        <f t="shared" ref="I46:I52" si="8">H46</f>
        <v>40000000</v>
      </c>
      <c r="J46" s="11">
        <v>44247</v>
      </c>
      <c r="K46" s="11">
        <f t="shared" ref="K46:K52" si="9">J46+35</f>
        <v>44282</v>
      </c>
      <c r="L46" s="289">
        <v>0</v>
      </c>
      <c r="M46" s="11">
        <f>J46+180</f>
        <v>44427</v>
      </c>
      <c r="N46" s="289">
        <v>0</v>
      </c>
      <c r="O46" s="289">
        <f>I46-L46</f>
        <v>40000000</v>
      </c>
      <c r="P46" s="11">
        <v>44285</v>
      </c>
      <c r="Q46" s="13" t="s">
        <v>242</v>
      </c>
      <c r="R46" s="93"/>
    </row>
    <row r="47" spans="1:19" s="472" customFormat="1">
      <c r="A47" s="472">
        <v>87</v>
      </c>
      <c r="B47" s="472">
        <v>87</v>
      </c>
      <c r="C47" s="472">
        <v>5337</v>
      </c>
      <c r="D47" s="472" t="s">
        <v>390</v>
      </c>
      <c r="E47" s="472" t="s">
        <v>365</v>
      </c>
      <c r="F47" s="474" t="s">
        <v>366</v>
      </c>
      <c r="G47" s="474" t="s">
        <v>367</v>
      </c>
      <c r="H47" s="449">
        <v>100000000</v>
      </c>
      <c r="I47" s="354">
        <f t="shared" si="8"/>
        <v>100000000</v>
      </c>
      <c r="J47" s="475">
        <v>44271</v>
      </c>
      <c r="K47" s="475">
        <f t="shared" si="9"/>
        <v>44306</v>
      </c>
      <c r="L47" s="354">
        <v>0</v>
      </c>
      <c r="M47" s="475">
        <f>J47+150</f>
        <v>44421</v>
      </c>
      <c r="N47" s="354">
        <v>0</v>
      </c>
      <c r="O47" s="354">
        <f>I47-N47</f>
        <v>100000000</v>
      </c>
      <c r="P47" s="475">
        <v>44289</v>
      </c>
      <c r="Q47" s="472" t="s">
        <v>560</v>
      </c>
      <c r="R47" s="476"/>
    </row>
    <row r="48" spans="1:19" s="13" customFormat="1">
      <c r="A48" s="13">
        <v>88</v>
      </c>
      <c r="B48" s="13">
        <v>12</v>
      </c>
      <c r="C48" s="13">
        <v>5338</v>
      </c>
      <c r="D48" s="13" t="s">
        <v>390</v>
      </c>
      <c r="E48" s="13" t="s">
        <v>153</v>
      </c>
      <c r="F48" s="36" t="s">
        <v>591</v>
      </c>
      <c r="G48" s="36" t="s">
        <v>81</v>
      </c>
      <c r="H48" s="425">
        <v>45000000</v>
      </c>
      <c r="I48" s="289">
        <f t="shared" si="8"/>
        <v>45000000</v>
      </c>
      <c r="J48" s="11">
        <v>44271</v>
      </c>
      <c r="K48" s="11">
        <f t="shared" si="9"/>
        <v>44306</v>
      </c>
      <c r="L48" s="289">
        <v>45000000</v>
      </c>
      <c r="M48" s="11">
        <f>J48+180</f>
        <v>44451</v>
      </c>
      <c r="N48" s="289">
        <v>0</v>
      </c>
      <c r="O48" s="354">
        <f>I48-N48</f>
        <v>45000000</v>
      </c>
      <c r="P48" s="11">
        <v>44345</v>
      </c>
      <c r="Q48" s="13" t="s">
        <v>242</v>
      </c>
      <c r="R48" s="93"/>
    </row>
    <row r="49" spans="1:19" s="472" customFormat="1">
      <c r="A49" s="472">
        <v>89</v>
      </c>
      <c r="B49" s="472">
        <v>89</v>
      </c>
      <c r="C49" s="472">
        <v>5339</v>
      </c>
      <c r="D49" s="472" t="s">
        <v>731</v>
      </c>
      <c r="E49" s="472" t="s">
        <v>83</v>
      </c>
      <c r="F49" s="474" t="s">
        <v>592</v>
      </c>
      <c r="G49" s="474" t="s">
        <v>148</v>
      </c>
      <c r="H49" s="449">
        <v>80000000</v>
      </c>
      <c r="I49" s="354">
        <f t="shared" si="8"/>
        <v>80000000</v>
      </c>
      <c r="J49" s="475">
        <v>44271</v>
      </c>
      <c r="K49" s="475">
        <f t="shared" si="9"/>
        <v>44306</v>
      </c>
      <c r="L49" s="354">
        <v>0</v>
      </c>
      <c r="M49" s="475">
        <f>J49+150</f>
        <v>44421</v>
      </c>
      <c r="N49" s="354">
        <v>0</v>
      </c>
      <c r="O49" s="354">
        <f>I49-N49</f>
        <v>80000000</v>
      </c>
      <c r="P49" s="475">
        <v>44310</v>
      </c>
      <c r="Q49" s="472" t="s">
        <v>560</v>
      </c>
      <c r="R49" s="476"/>
    </row>
    <row r="50" spans="1:19" s="5" customFormat="1" ht="11.4">
      <c r="A50" s="5">
        <v>92</v>
      </c>
      <c r="B50" s="5">
        <v>108</v>
      </c>
      <c r="C50" s="5">
        <v>5343</v>
      </c>
      <c r="D50" s="5" t="s">
        <v>625</v>
      </c>
      <c r="E50" s="5" t="s">
        <v>581</v>
      </c>
      <c r="F50" s="26" t="s">
        <v>593</v>
      </c>
      <c r="G50" s="26" t="s">
        <v>583</v>
      </c>
      <c r="H50" s="352">
        <v>44200000</v>
      </c>
      <c r="I50" s="69">
        <f t="shared" si="8"/>
        <v>44200000</v>
      </c>
      <c r="J50" s="6">
        <v>44286</v>
      </c>
      <c r="K50" s="6">
        <f t="shared" si="9"/>
        <v>44321</v>
      </c>
      <c r="L50" s="349">
        <v>44200000</v>
      </c>
      <c r="M50" s="6">
        <f>J50+180</f>
        <v>44466</v>
      </c>
      <c r="N50" s="349"/>
      <c r="O50" s="349"/>
      <c r="P50" s="6"/>
      <c r="Q50" s="5" t="s">
        <v>272</v>
      </c>
      <c r="R50" s="142"/>
    </row>
    <row r="51" spans="1:19" s="13" customFormat="1">
      <c r="A51" s="13">
        <v>93</v>
      </c>
      <c r="B51" s="13">
        <v>16</v>
      </c>
      <c r="C51" s="13">
        <v>5344</v>
      </c>
      <c r="D51" s="13" t="s">
        <v>390</v>
      </c>
      <c r="E51" s="13" t="s">
        <v>623</v>
      </c>
      <c r="F51" s="36" t="s">
        <v>594</v>
      </c>
      <c r="G51" s="36" t="s">
        <v>81</v>
      </c>
      <c r="H51" s="425">
        <v>50000000</v>
      </c>
      <c r="I51" s="289">
        <f t="shared" si="8"/>
        <v>50000000</v>
      </c>
      <c r="J51" s="11">
        <v>44294</v>
      </c>
      <c r="K51" s="11">
        <f t="shared" si="9"/>
        <v>44329</v>
      </c>
      <c r="L51" s="289">
        <v>0</v>
      </c>
      <c r="M51" s="11">
        <f>J51+180</f>
        <v>44474</v>
      </c>
      <c r="N51" s="289">
        <v>0</v>
      </c>
      <c r="O51" s="289">
        <f>I51-N51</f>
        <v>50000000</v>
      </c>
      <c r="P51" s="11">
        <v>44315</v>
      </c>
      <c r="Q51" s="13" t="s">
        <v>242</v>
      </c>
      <c r="R51" s="93"/>
    </row>
    <row r="52" spans="1:19" s="13" customFormat="1">
      <c r="A52" s="13">
        <v>94</v>
      </c>
      <c r="B52" s="13">
        <v>19</v>
      </c>
      <c r="C52" s="13">
        <v>5345</v>
      </c>
      <c r="D52" s="13" t="s">
        <v>390</v>
      </c>
      <c r="E52" s="13" t="s">
        <v>153</v>
      </c>
      <c r="F52" s="36" t="s">
        <v>595</v>
      </c>
      <c r="G52" s="36" t="s">
        <v>81</v>
      </c>
      <c r="H52" s="425">
        <v>50000000</v>
      </c>
      <c r="I52" s="289">
        <f t="shared" si="8"/>
        <v>50000000</v>
      </c>
      <c r="J52" s="11">
        <v>44294</v>
      </c>
      <c r="K52" s="11">
        <f t="shared" si="9"/>
        <v>44329</v>
      </c>
      <c r="L52" s="289">
        <v>0</v>
      </c>
      <c r="M52" s="11">
        <f>J52+180</f>
        <v>44474</v>
      </c>
      <c r="N52" s="289">
        <v>0</v>
      </c>
      <c r="O52" s="289">
        <f>I52-N52</f>
        <v>50000000</v>
      </c>
      <c r="P52" s="11">
        <v>44306</v>
      </c>
      <c r="Q52" s="13" t="s">
        <v>242</v>
      </c>
      <c r="R52" s="93"/>
    </row>
    <row r="53" spans="1:19" s="13" customFormat="1">
      <c r="A53" s="13">
        <v>95</v>
      </c>
      <c r="B53" s="13">
        <v>21</v>
      </c>
      <c r="C53" s="13" t="s">
        <v>541</v>
      </c>
      <c r="D53" s="13" t="s">
        <v>390</v>
      </c>
      <c r="E53" s="13" t="s">
        <v>223</v>
      </c>
      <c r="F53" s="36" t="s">
        <v>279</v>
      </c>
      <c r="G53" s="36" t="s">
        <v>81</v>
      </c>
      <c r="H53" s="425">
        <v>0</v>
      </c>
      <c r="I53" s="289"/>
      <c r="J53" s="11"/>
      <c r="K53" s="11"/>
      <c r="L53" s="289"/>
      <c r="M53" s="11"/>
      <c r="N53" s="289"/>
      <c r="O53" s="289"/>
      <c r="P53" s="11"/>
      <c r="Q53" s="13" t="s">
        <v>242</v>
      </c>
      <c r="R53" s="93"/>
    </row>
    <row r="54" spans="1:19" s="13" customFormat="1">
      <c r="A54" s="13">
        <v>96</v>
      </c>
      <c r="B54" s="13">
        <v>23</v>
      </c>
      <c r="C54" s="13">
        <v>5346</v>
      </c>
      <c r="D54" s="13" t="s">
        <v>390</v>
      </c>
      <c r="E54" s="13" t="s">
        <v>623</v>
      </c>
      <c r="F54" s="36" t="s">
        <v>596</v>
      </c>
      <c r="G54" s="36" t="s">
        <v>81</v>
      </c>
      <c r="H54" s="425">
        <v>50000000</v>
      </c>
      <c r="I54" s="289">
        <f>H54</f>
        <v>50000000</v>
      </c>
      <c r="J54" s="11">
        <v>44294</v>
      </c>
      <c r="K54" s="11">
        <f>J54+35</f>
        <v>44329</v>
      </c>
      <c r="L54" s="289">
        <v>0</v>
      </c>
      <c r="M54" s="11">
        <f>J54+180</f>
        <v>44474</v>
      </c>
      <c r="N54" s="289">
        <v>0</v>
      </c>
      <c r="O54" s="289">
        <f>I54-N54</f>
        <v>50000000</v>
      </c>
      <c r="P54" s="11">
        <v>44315</v>
      </c>
      <c r="Q54" s="13" t="s">
        <v>242</v>
      </c>
      <c r="R54" s="93"/>
    </row>
    <row r="55" spans="1:19" s="5" customFormat="1" ht="11.4">
      <c r="A55" s="5">
        <v>97</v>
      </c>
      <c r="B55" s="5">
        <v>25</v>
      </c>
      <c r="C55" s="5">
        <v>5350</v>
      </c>
      <c r="D55" s="5" t="s">
        <v>625</v>
      </c>
      <c r="E55" s="5" t="s">
        <v>223</v>
      </c>
      <c r="F55" s="26" t="s">
        <v>597</v>
      </c>
      <c r="G55" s="26" t="s">
        <v>81</v>
      </c>
      <c r="H55" s="352">
        <v>60000000</v>
      </c>
      <c r="I55" s="349">
        <f>H55</f>
        <v>60000000</v>
      </c>
      <c r="J55" s="6">
        <v>44302</v>
      </c>
      <c r="K55" s="6">
        <f>J55+35</f>
        <v>44337</v>
      </c>
      <c r="L55" s="349">
        <v>60000000</v>
      </c>
      <c r="M55" s="6">
        <f>J55+180</f>
        <v>44482</v>
      </c>
      <c r="N55" s="349"/>
      <c r="O55" s="349"/>
      <c r="P55" s="6"/>
      <c r="Q55" s="5" t="s">
        <v>242</v>
      </c>
      <c r="R55" s="142" t="s">
        <v>725</v>
      </c>
      <c r="S55" s="381" t="s">
        <v>730</v>
      </c>
    </row>
    <row r="56" spans="1:19" s="13" customFormat="1">
      <c r="A56" s="13">
        <v>98</v>
      </c>
      <c r="B56" s="13">
        <v>109</v>
      </c>
      <c r="C56" s="13" t="s">
        <v>542</v>
      </c>
      <c r="D56" s="13" t="s">
        <v>390</v>
      </c>
      <c r="E56" s="13" t="s">
        <v>225</v>
      </c>
      <c r="F56" s="36" t="s">
        <v>369</v>
      </c>
      <c r="G56" s="36" t="s">
        <v>320</v>
      </c>
      <c r="H56" s="425">
        <v>0</v>
      </c>
      <c r="I56" s="289"/>
      <c r="J56" s="11"/>
      <c r="K56" s="11"/>
      <c r="L56" s="289"/>
      <c r="M56" s="11"/>
      <c r="N56" s="289"/>
      <c r="O56" s="289"/>
      <c r="P56" s="11"/>
      <c r="Q56" s="13" t="s">
        <v>272</v>
      </c>
      <c r="R56" s="93" t="s">
        <v>726</v>
      </c>
    </row>
    <row r="57" spans="1:19" s="5" customFormat="1" ht="11.4">
      <c r="A57" s="5">
        <v>99</v>
      </c>
      <c r="B57" s="5">
        <v>26</v>
      </c>
      <c r="C57" s="5">
        <v>5352</v>
      </c>
      <c r="D57" s="5" t="s">
        <v>625</v>
      </c>
      <c r="E57" s="5" t="s">
        <v>223</v>
      </c>
      <c r="F57" s="26" t="s">
        <v>598</v>
      </c>
      <c r="G57" s="26" t="s">
        <v>81</v>
      </c>
      <c r="H57" s="352">
        <v>40000000</v>
      </c>
      <c r="I57" s="349">
        <f>H57</f>
        <v>40000000</v>
      </c>
      <c r="J57" s="6">
        <v>44308</v>
      </c>
      <c r="K57" s="6">
        <f>J57+35</f>
        <v>44343</v>
      </c>
      <c r="L57" s="349">
        <v>40000000</v>
      </c>
      <c r="M57" s="6">
        <f>J57+180</f>
        <v>44488</v>
      </c>
      <c r="N57" s="349"/>
      <c r="O57" s="349"/>
      <c r="P57" s="6"/>
      <c r="Q57" s="5" t="s">
        <v>242</v>
      </c>
      <c r="R57" s="142"/>
    </row>
    <row r="58" spans="1:19" s="5" customFormat="1">
      <c r="A58" s="13">
        <v>101</v>
      </c>
      <c r="B58" s="13">
        <v>27</v>
      </c>
      <c r="C58" s="13" t="s">
        <v>543</v>
      </c>
      <c r="D58" s="13" t="s">
        <v>390</v>
      </c>
      <c r="E58" s="13" t="s">
        <v>153</v>
      </c>
      <c r="F58" s="36" t="s">
        <v>403</v>
      </c>
      <c r="G58" s="36" t="s">
        <v>81</v>
      </c>
      <c r="H58" s="425">
        <v>0</v>
      </c>
      <c r="I58" s="289"/>
      <c r="J58" s="11"/>
      <c r="K58" s="11"/>
      <c r="L58" s="289"/>
      <c r="M58" s="11"/>
      <c r="N58" s="289"/>
      <c r="O58" s="289"/>
      <c r="P58" s="11"/>
      <c r="Q58" s="13" t="s">
        <v>242</v>
      </c>
      <c r="R58" s="93"/>
      <c r="S58" s="13"/>
    </row>
    <row r="59" spans="1:19" s="5" customFormat="1">
      <c r="A59" s="13">
        <v>102</v>
      </c>
      <c r="B59" s="13">
        <v>29</v>
      </c>
      <c r="C59" s="13" t="s">
        <v>544</v>
      </c>
      <c r="D59" s="13" t="s">
        <v>390</v>
      </c>
      <c r="E59" s="13" t="s">
        <v>223</v>
      </c>
      <c r="F59" s="36" t="s">
        <v>599</v>
      </c>
      <c r="G59" s="36" t="s">
        <v>81</v>
      </c>
      <c r="H59" s="425">
        <v>0</v>
      </c>
      <c r="I59" s="289"/>
      <c r="J59" s="11"/>
      <c r="K59" s="11"/>
      <c r="L59" s="289"/>
      <c r="M59" s="11"/>
      <c r="N59" s="289"/>
      <c r="O59" s="289"/>
      <c r="P59" s="11"/>
      <c r="Q59" s="13" t="s">
        <v>242</v>
      </c>
      <c r="R59" s="93"/>
      <c r="S59" s="13"/>
    </row>
    <row r="60" spans="1:19" s="472" customFormat="1">
      <c r="A60" s="472">
        <v>103</v>
      </c>
      <c r="B60" s="472">
        <v>103</v>
      </c>
      <c r="C60" s="472">
        <v>5353</v>
      </c>
      <c r="D60" s="472" t="s">
        <v>390</v>
      </c>
      <c r="E60" s="472" t="s">
        <v>83</v>
      </c>
      <c r="F60" s="474" t="s">
        <v>600</v>
      </c>
      <c r="G60" s="474" t="s">
        <v>352</v>
      </c>
      <c r="H60" s="449">
        <v>100000000</v>
      </c>
      <c r="I60" s="354">
        <f>H60</f>
        <v>100000000</v>
      </c>
      <c r="J60" s="475">
        <v>44308</v>
      </c>
      <c r="K60" s="475">
        <f>J60+35</f>
        <v>44343</v>
      </c>
      <c r="L60" s="354">
        <v>0</v>
      </c>
      <c r="M60" s="475">
        <f>J60+150</f>
        <v>44458</v>
      </c>
      <c r="N60" s="354">
        <v>0</v>
      </c>
      <c r="O60" s="354">
        <f>I60-L60</f>
        <v>100000000</v>
      </c>
      <c r="P60" s="475">
        <v>44327</v>
      </c>
      <c r="Q60" s="472" t="s">
        <v>560</v>
      </c>
      <c r="R60" s="476"/>
    </row>
    <row r="61" spans="1:19" s="13" customFormat="1">
      <c r="A61" s="13">
        <v>107</v>
      </c>
      <c r="B61" s="13">
        <v>35</v>
      </c>
      <c r="C61" s="13" t="s">
        <v>545</v>
      </c>
      <c r="D61" s="13" t="s">
        <v>390</v>
      </c>
      <c r="E61" s="13" t="s">
        <v>223</v>
      </c>
      <c r="F61" s="36" t="s">
        <v>601</v>
      </c>
      <c r="G61" s="36" t="s">
        <v>81</v>
      </c>
      <c r="H61" s="425">
        <v>0</v>
      </c>
      <c r="I61" s="289"/>
      <c r="J61" s="11"/>
      <c r="K61" s="11"/>
      <c r="L61" s="289"/>
      <c r="M61" s="11"/>
      <c r="N61" s="350"/>
      <c r="O61" s="350"/>
      <c r="P61" s="11"/>
      <c r="Q61" s="13" t="s">
        <v>242</v>
      </c>
      <c r="R61" s="11"/>
    </row>
    <row r="62" spans="1:19" s="13" customFormat="1">
      <c r="A62" s="13">
        <v>110</v>
      </c>
      <c r="B62" s="13">
        <v>38</v>
      </c>
      <c r="C62" s="13">
        <v>5354</v>
      </c>
      <c r="D62" s="13" t="s">
        <v>390</v>
      </c>
      <c r="E62" s="13" t="s">
        <v>624</v>
      </c>
      <c r="F62" s="36" t="s">
        <v>602</v>
      </c>
      <c r="G62" s="36" t="s">
        <v>211</v>
      </c>
      <c r="H62" s="425">
        <v>20000000</v>
      </c>
      <c r="I62" s="289">
        <f>H62</f>
        <v>20000000</v>
      </c>
      <c r="J62" s="11">
        <v>44308</v>
      </c>
      <c r="K62" s="11">
        <f>J62+35</f>
        <v>44343</v>
      </c>
      <c r="L62" s="289">
        <v>0</v>
      </c>
      <c r="M62" s="11">
        <f>J62+180</f>
        <v>44488</v>
      </c>
      <c r="N62" s="289">
        <v>0</v>
      </c>
      <c r="O62" s="289">
        <f>I62-N62</f>
        <v>20000000</v>
      </c>
      <c r="P62" s="11">
        <v>44310</v>
      </c>
      <c r="Q62" s="13" t="s">
        <v>242</v>
      </c>
      <c r="R62" s="93"/>
    </row>
    <row r="63" spans="1:19" s="13" customFormat="1">
      <c r="A63" s="13">
        <v>111</v>
      </c>
      <c r="B63" s="13">
        <v>41</v>
      </c>
      <c r="C63" s="13">
        <v>5355</v>
      </c>
      <c r="D63" s="13" t="s">
        <v>390</v>
      </c>
      <c r="E63" s="13" t="s">
        <v>226</v>
      </c>
      <c r="F63" s="36" t="s">
        <v>603</v>
      </c>
      <c r="G63" s="36" t="s">
        <v>233</v>
      </c>
      <c r="H63" s="425">
        <v>35000000</v>
      </c>
      <c r="I63" s="289">
        <f>H63</f>
        <v>35000000</v>
      </c>
      <c r="J63" s="11">
        <v>44313</v>
      </c>
      <c r="K63" s="11">
        <f>J63+35</f>
        <v>44348</v>
      </c>
      <c r="L63" s="289">
        <v>0</v>
      </c>
      <c r="M63" s="11">
        <f>J63+180</f>
        <v>44493</v>
      </c>
      <c r="N63" s="350">
        <v>0</v>
      </c>
      <c r="O63" s="289">
        <f>I63-N63</f>
        <v>35000000</v>
      </c>
      <c r="P63" s="11">
        <v>44342</v>
      </c>
      <c r="Q63" s="13" t="s">
        <v>242</v>
      </c>
      <c r="R63" s="93"/>
    </row>
    <row r="64" spans="1:19" s="472" customFormat="1">
      <c r="A64" s="472">
        <v>113</v>
      </c>
      <c r="B64" s="472">
        <v>113</v>
      </c>
      <c r="C64" s="472">
        <v>5356</v>
      </c>
      <c r="D64" s="472" t="s">
        <v>390</v>
      </c>
      <c r="E64" s="472" t="s">
        <v>83</v>
      </c>
      <c r="F64" s="474" t="s">
        <v>604</v>
      </c>
      <c r="G64" s="474" t="s">
        <v>355</v>
      </c>
      <c r="H64" s="449">
        <v>100000000</v>
      </c>
      <c r="I64" s="354">
        <f>H64</f>
        <v>100000000</v>
      </c>
      <c r="J64" s="475">
        <v>44313</v>
      </c>
      <c r="K64" s="475">
        <f>J64+35</f>
        <v>44348</v>
      </c>
      <c r="L64" s="354">
        <v>0</v>
      </c>
      <c r="M64" s="475">
        <f>J64+150</f>
        <v>44463</v>
      </c>
      <c r="N64" s="354">
        <v>0</v>
      </c>
      <c r="O64" s="354">
        <f>I64-N64</f>
        <v>100000000</v>
      </c>
      <c r="P64" s="475">
        <v>44338</v>
      </c>
      <c r="Q64" s="472" t="s">
        <v>560</v>
      </c>
      <c r="R64" s="476"/>
    </row>
    <row r="65" spans="1:19" s="13" customFormat="1">
      <c r="A65" s="13">
        <v>114</v>
      </c>
      <c r="B65" s="13">
        <v>117</v>
      </c>
      <c r="C65" s="13" t="s">
        <v>546</v>
      </c>
      <c r="D65" s="13" t="s">
        <v>390</v>
      </c>
      <c r="E65" s="13" t="s">
        <v>314</v>
      </c>
      <c r="F65" s="36" t="s">
        <v>605</v>
      </c>
      <c r="G65" s="36" t="s">
        <v>80</v>
      </c>
      <c r="H65" s="425">
        <v>0</v>
      </c>
      <c r="I65" s="289"/>
      <c r="J65" s="11"/>
      <c r="K65" s="11"/>
      <c r="L65" s="289"/>
      <c r="M65" s="11"/>
      <c r="N65" s="289"/>
      <c r="O65" s="289"/>
      <c r="P65" s="11"/>
      <c r="Q65" s="13" t="s">
        <v>272</v>
      </c>
      <c r="R65" s="93"/>
    </row>
    <row r="66" spans="1:19" s="13" customFormat="1">
      <c r="A66" s="13">
        <v>116</v>
      </c>
      <c r="B66" s="13">
        <v>43</v>
      </c>
      <c r="C66" s="13">
        <v>5357</v>
      </c>
      <c r="D66" s="13" t="s">
        <v>390</v>
      </c>
      <c r="E66" s="13" t="s">
        <v>223</v>
      </c>
      <c r="F66" s="36" t="s">
        <v>606</v>
      </c>
      <c r="G66" s="36" t="s">
        <v>81</v>
      </c>
      <c r="H66" s="425">
        <v>40000000</v>
      </c>
      <c r="I66" s="289">
        <f>H66</f>
        <v>40000000</v>
      </c>
      <c r="J66" s="11">
        <v>44313</v>
      </c>
      <c r="K66" s="11">
        <f>J66+35</f>
        <v>44348</v>
      </c>
      <c r="L66" s="289">
        <v>0</v>
      </c>
      <c r="M66" s="11">
        <f>J66+180</f>
        <v>44493</v>
      </c>
      <c r="N66" s="289">
        <v>0</v>
      </c>
      <c r="O66" s="289">
        <f>I66-N66</f>
        <v>40000000</v>
      </c>
      <c r="P66" s="11">
        <v>44315</v>
      </c>
      <c r="Q66" s="13" t="s">
        <v>242</v>
      </c>
      <c r="R66" s="93"/>
    </row>
    <row r="67" spans="1:19" s="5" customFormat="1" ht="11.4">
      <c r="A67" s="5">
        <v>118</v>
      </c>
      <c r="B67" s="5">
        <v>46</v>
      </c>
      <c r="C67" s="5">
        <v>5358</v>
      </c>
      <c r="D67" s="5" t="s">
        <v>625</v>
      </c>
      <c r="E67" s="5" t="s">
        <v>153</v>
      </c>
      <c r="F67" s="26" t="s">
        <v>607</v>
      </c>
      <c r="G67" s="26" t="s">
        <v>81</v>
      </c>
      <c r="H67" s="352">
        <v>12000000</v>
      </c>
      <c r="I67" s="535">
        <f>H67</f>
        <v>12000000</v>
      </c>
      <c r="J67" s="6">
        <v>44314</v>
      </c>
      <c r="K67" s="6">
        <f>J67+35</f>
        <v>44349</v>
      </c>
      <c r="L67" s="349">
        <v>12000000</v>
      </c>
      <c r="M67" s="6">
        <f>J67+180</f>
        <v>44494</v>
      </c>
      <c r="N67" s="349"/>
      <c r="O67" s="349"/>
      <c r="P67" s="6"/>
      <c r="Q67" s="5" t="s">
        <v>242</v>
      </c>
      <c r="R67" s="6"/>
      <c r="S67" s="381" t="s">
        <v>733</v>
      </c>
    </row>
    <row r="68" spans="1:19" s="13" customFormat="1">
      <c r="A68" s="13">
        <v>119</v>
      </c>
      <c r="B68" s="13">
        <v>47</v>
      </c>
      <c r="C68" s="13">
        <v>5359</v>
      </c>
      <c r="D68" s="13" t="s">
        <v>390</v>
      </c>
      <c r="E68" s="13" t="s">
        <v>223</v>
      </c>
      <c r="F68" s="36" t="s">
        <v>608</v>
      </c>
      <c r="G68" s="36" t="s">
        <v>81</v>
      </c>
      <c r="H68" s="425">
        <v>35000000</v>
      </c>
      <c r="I68" s="289">
        <f>H68</f>
        <v>35000000</v>
      </c>
      <c r="J68" s="11">
        <v>44314</v>
      </c>
      <c r="K68" s="11">
        <f>J68+35</f>
        <v>44349</v>
      </c>
      <c r="L68" s="289">
        <v>0</v>
      </c>
      <c r="M68" s="11">
        <f>J68+180</f>
        <v>44494</v>
      </c>
      <c r="N68" s="289">
        <v>0</v>
      </c>
      <c r="O68" s="289">
        <f>I68-N68</f>
        <v>35000000</v>
      </c>
      <c r="P68" s="11">
        <v>44336</v>
      </c>
      <c r="Q68" s="13" t="s">
        <v>242</v>
      </c>
      <c r="R68" s="11"/>
    </row>
    <row r="69" spans="1:19" s="13" customFormat="1">
      <c r="A69" s="13" t="s">
        <v>146</v>
      </c>
      <c r="B69" s="13" t="s">
        <v>146</v>
      </c>
      <c r="C69" s="13">
        <v>5360</v>
      </c>
      <c r="D69" s="13" t="s">
        <v>390</v>
      </c>
      <c r="E69" s="13" t="s">
        <v>236</v>
      </c>
      <c r="F69" s="36" t="s">
        <v>283</v>
      </c>
      <c r="G69" s="36" t="s">
        <v>80</v>
      </c>
      <c r="H69" s="425">
        <v>40000000</v>
      </c>
      <c r="I69" s="289">
        <f>H69</f>
        <v>40000000</v>
      </c>
      <c r="J69" s="11">
        <v>44314</v>
      </c>
      <c r="K69" s="11">
        <f>J69+35</f>
        <v>44349</v>
      </c>
      <c r="L69" s="289">
        <v>0</v>
      </c>
      <c r="M69" s="11">
        <f>J69+180</f>
        <v>44494</v>
      </c>
      <c r="N69" s="289">
        <v>0</v>
      </c>
      <c r="O69" s="289">
        <f>I69-N69</f>
        <v>40000000</v>
      </c>
      <c r="P69" s="11">
        <v>44315</v>
      </c>
      <c r="Q69" s="13" t="s">
        <v>272</v>
      </c>
      <c r="R69" s="11"/>
      <c r="S69" s="472" t="s">
        <v>734</v>
      </c>
    </row>
    <row r="70" spans="1:19" s="13" customFormat="1">
      <c r="A70" s="13" t="s">
        <v>146</v>
      </c>
      <c r="B70" s="13" t="s">
        <v>146</v>
      </c>
      <c r="C70" s="13" t="s">
        <v>547</v>
      </c>
      <c r="D70" s="13" t="s">
        <v>390</v>
      </c>
      <c r="E70" s="13" t="s">
        <v>158</v>
      </c>
      <c r="F70" s="36" t="s">
        <v>609</v>
      </c>
      <c r="G70" s="36" t="s">
        <v>275</v>
      </c>
      <c r="H70" s="425">
        <v>0</v>
      </c>
      <c r="I70" s="289"/>
      <c r="J70" s="11"/>
      <c r="K70" s="11"/>
      <c r="L70" s="289"/>
      <c r="M70" s="11"/>
      <c r="N70" s="289"/>
      <c r="O70" s="289"/>
      <c r="P70" s="11"/>
      <c r="Q70" s="13" t="s">
        <v>272</v>
      </c>
      <c r="R70" s="11"/>
    </row>
    <row r="71" spans="1:19" s="381" customFormat="1" ht="11.4">
      <c r="A71" s="381" t="s">
        <v>146</v>
      </c>
      <c r="B71" s="381" t="s">
        <v>146</v>
      </c>
      <c r="C71" s="381">
        <v>5351</v>
      </c>
      <c r="D71" s="381" t="s">
        <v>625</v>
      </c>
      <c r="E71" s="381" t="s">
        <v>83</v>
      </c>
      <c r="F71" s="483" t="s">
        <v>610</v>
      </c>
      <c r="G71" s="483" t="s">
        <v>274</v>
      </c>
      <c r="H71" s="484">
        <v>35000000</v>
      </c>
      <c r="I71" s="486">
        <f t="shared" ref="I71:I77" si="10">H71</f>
        <v>35000000</v>
      </c>
      <c r="J71" s="485">
        <v>44302</v>
      </c>
      <c r="K71" s="485">
        <f t="shared" ref="K71:K78" si="11">J71+35</f>
        <v>44337</v>
      </c>
      <c r="L71" s="486">
        <v>25000000</v>
      </c>
      <c r="M71" s="485">
        <f>J71+150</f>
        <v>44452</v>
      </c>
      <c r="N71" s="486"/>
      <c r="O71" s="486">
        <f>I71-L71</f>
        <v>10000000</v>
      </c>
      <c r="P71" s="485">
        <v>44336</v>
      </c>
      <c r="Q71" s="381" t="s">
        <v>560</v>
      </c>
      <c r="R71" s="485"/>
      <c r="S71" s="381" t="s">
        <v>729</v>
      </c>
    </row>
    <row r="72" spans="1:19" s="381" customFormat="1" ht="11.4">
      <c r="A72" s="381" t="s">
        <v>146</v>
      </c>
      <c r="B72" s="381" t="s">
        <v>146</v>
      </c>
      <c r="C72" s="381">
        <v>5361</v>
      </c>
      <c r="D72" s="381" t="s">
        <v>625</v>
      </c>
      <c r="E72" s="381" t="s">
        <v>364</v>
      </c>
      <c r="F72" s="483" t="s">
        <v>550</v>
      </c>
      <c r="G72" s="483" t="s">
        <v>152</v>
      </c>
      <c r="H72" s="484">
        <v>100000000</v>
      </c>
      <c r="I72" s="486">
        <f t="shared" si="10"/>
        <v>100000000</v>
      </c>
      <c r="J72" s="485">
        <v>44322</v>
      </c>
      <c r="K72" s="485">
        <f t="shared" si="11"/>
        <v>44357</v>
      </c>
      <c r="L72" s="486">
        <v>100000000</v>
      </c>
      <c r="M72" s="485">
        <f>J72+150</f>
        <v>44472</v>
      </c>
      <c r="N72" s="486"/>
      <c r="O72" s="486"/>
      <c r="P72" s="485"/>
      <c r="Q72" s="381" t="s">
        <v>560</v>
      </c>
      <c r="R72" s="485"/>
    </row>
    <row r="73" spans="1:19" s="13" customFormat="1">
      <c r="A73" s="13" t="s">
        <v>146</v>
      </c>
      <c r="B73" s="13" t="s">
        <v>146</v>
      </c>
      <c r="C73" s="13">
        <v>5362</v>
      </c>
      <c r="D73" s="13" t="s">
        <v>390</v>
      </c>
      <c r="E73" s="13" t="s">
        <v>573</v>
      </c>
      <c r="F73" s="36" t="s">
        <v>611</v>
      </c>
      <c r="G73" s="36" t="s">
        <v>95</v>
      </c>
      <c r="H73" s="425">
        <v>63000000</v>
      </c>
      <c r="I73" s="289">
        <f t="shared" si="10"/>
        <v>63000000</v>
      </c>
      <c r="J73" s="11">
        <v>44322</v>
      </c>
      <c r="K73" s="11">
        <f t="shared" si="11"/>
        <v>44357</v>
      </c>
      <c r="L73" s="289">
        <v>0</v>
      </c>
      <c r="M73" s="11">
        <f t="shared" ref="M73:M85" si="12">J73+180</f>
        <v>44502</v>
      </c>
      <c r="N73" s="289">
        <v>0</v>
      </c>
      <c r="O73" s="289">
        <f>I73-L73</f>
        <v>63000000</v>
      </c>
      <c r="P73" s="11">
        <v>44357</v>
      </c>
      <c r="Q73" s="13" t="s">
        <v>272</v>
      </c>
      <c r="R73" s="93"/>
    </row>
    <row r="74" spans="1:19" s="5" customFormat="1" ht="11.4">
      <c r="A74" s="5" t="s">
        <v>146</v>
      </c>
      <c r="B74" s="5" t="s">
        <v>146</v>
      </c>
      <c r="C74" s="5">
        <v>5363</v>
      </c>
      <c r="D74" s="5" t="s">
        <v>625</v>
      </c>
      <c r="E74" s="5" t="s">
        <v>278</v>
      </c>
      <c r="F74" s="26" t="s">
        <v>356</v>
      </c>
      <c r="G74" s="26" t="s">
        <v>79</v>
      </c>
      <c r="H74" s="352">
        <v>40000000</v>
      </c>
      <c r="I74" s="349">
        <f t="shared" si="10"/>
        <v>40000000</v>
      </c>
      <c r="J74" s="6">
        <v>44323</v>
      </c>
      <c r="K74" s="6">
        <f t="shared" si="11"/>
        <v>44358</v>
      </c>
      <c r="L74" s="349">
        <v>40000000</v>
      </c>
      <c r="M74" s="6">
        <f t="shared" si="12"/>
        <v>44503</v>
      </c>
      <c r="N74" s="349"/>
      <c r="O74" s="349"/>
      <c r="P74" s="6"/>
      <c r="Q74" s="5" t="s">
        <v>272</v>
      </c>
      <c r="R74" s="489" t="s">
        <v>739</v>
      </c>
    </row>
    <row r="75" spans="1:19" s="13" customFormat="1">
      <c r="A75" s="13" t="s">
        <v>146</v>
      </c>
      <c r="B75" s="13" t="s">
        <v>146</v>
      </c>
      <c r="C75" s="13">
        <v>5282</v>
      </c>
      <c r="D75" s="13" t="s">
        <v>390</v>
      </c>
      <c r="E75" s="13" t="s">
        <v>616</v>
      </c>
      <c r="F75" s="36" t="s">
        <v>617</v>
      </c>
      <c r="G75" s="36" t="s">
        <v>79</v>
      </c>
      <c r="H75" s="425">
        <v>60000000</v>
      </c>
      <c r="I75" s="289">
        <f t="shared" si="10"/>
        <v>60000000</v>
      </c>
      <c r="J75" s="11">
        <v>44205</v>
      </c>
      <c r="K75" s="11">
        <f t="shared" si="11"/>
        <v>44240</v>
      </c>
      <c r="L75" s="289">
        <v>60000000</v>
      </c>
      <c r="M75" s="11">
        <f t="shared" si="12"/>
        <v>44385</v>
      </c>
      <c r="N75" s="289">
        <v>0</v>
      </c>
      <c r="O75" s="289">
        <f>L75-N75</f>
        <v>60000000</v>
      </c>
      <c r="P75" s="11">
        <v>44310</v>
      </c>
      <c r="Q75" s="13" t="s">
        <v>272</v>
      </c>
      <c r="R75" s="93"/>
      <c r="S75" s="472" t="s">
        <v>634</v>
      </c>
    </row>
    <row r="76" spans="1:19" s="13" customFormat="1">
      <c r="A76" s="13" t="s">
        <v>146</v>
      </c>
      <c r="B76" s="13" t="s">
        <v>146</v>
      </c>
      <c r="C76" s="13">
        <v>5290</v>
      </c>
      <c r="D76" s="13" t="s">
        <v>391</v>
      </c>
      <c r="E76" s="13" t="s">
        <v>635</v>
      </c>
      <c r="F76" s="36" t="s">
        <v>360</v>
      </c>
      <c r="G76" s="36" t="s">
        <v>78</v>
      </c>
      <c r="H76" s="425">
        <v>50000000</v>
      </c>
      <c r="I76" s="289">
        <f t="shared" si="10"/>
        <v>50000000</v>
      </c>
      <c r="J76" s="11">
        <v>44208</v>
      </c>
      <c r="K76" s="11">
        <f t="shared" si="11"/>
        <v>44243</v>
      </c>
      <c r="L76" s="289">
        <v>50000000</v>
      </c>
      <c r="M76" s="11">
        <f t="shared" si="12"/>
        <v>44388</v>
      </c>
      <c r="N76" s="289">
        <v>0</v>
      </c>
      <c r="O76" s="289">
        <f>L76-N76</f>
        <v>50000000</v>
      </c>
      <c r="P76" s="11">
        <v>44323</v>
      </c>
      <c r="Q76" s="13" t="s">
        <v>272</v>
      </c>
      <c r="R76" s="93"/>
      <c r="S76" s="472" t="s">
        <v>648</v>
      </c>
    </row>
    <row r="77" spans="1:19" s="13" customFormat="1">
      <c r="A77" s="13" t="s">
        <v>146</v>
      </c>
      <c r="B77" s="13" t="s">
        <v>146</v>
      </c>
      <c r="C77" s="13">
        <v>5314</v>
      </c>
      <c r="D77" s="13" t="s">
        <v>391</v>
      </c>
      <c r="E77" s="13" t="s">
        <v>314</v>
      </c>
      <c r="F77" s="36" t="s">
        <v>417</v>
      </c>
      <c r="G77" s="36" t="s">
        <v>280</v>
      </c>
      <c r="H77" s="425">
        <v>50000000</v>
      </c>
      <c r="I77" s="289">
        <f t="shared" si="10"/>
        <v>50000000</v>
      </c>
      <c r="J77" s="11">
        <v>44218</v>
      </c>
      <c r="K77" s="11">
        <f t="shared" si="11"/>
        <v>44253</v>
      </c>
      <c r="L77" s="289">
        <v>50000000</v>
      </c>
      <c r="M77" s="11">
        <f t="shared" si="12"/>
        <v>44398</v>
      </c>
      <c r="N77" s="289">
        <v>0</v>
      </c>
      <c r="O77" s="289">
        <f>L77-N77</f>
        <v>50000000</v>
      </c>
      <c r="P77" s="11">
        <v>44365</v>
      </c>
      <c r="Q77" s="13" t="s">
        <v>272</v>
      </c>
      <c r="R77" s="93"/>
      <c r="S77" s="472" t="s">
        <v>647</v>
      </c>
    </row>
    <row r="78" spans="1:19" s="5" customFormat="1" ht="11.4">
      <c r="A78" s="5" t="s">
        <v>146</v>
      </c>
      <c r="B78" s="5" t="s">
        <v>146</v>
      </c>
      <c r="C78" s="5">
        <v>5367</v>
      </c>
      <c r="D78" s="5" t="s">
        <v>625</v>
      </c>
      <c r="E78" s="5" t="s">
        <v>581</v>
      </c>
      <c r="F78" s="26" t="s">
        <v>582</v>
      </c>
      <c r="G78" s="26" t="s">
        <v>583</v>
      </c>
      <c r="H78" s="352">
        <v>49000000</v>
      </c>
      <c r="I78" s="349">
        <f>H78</f>
        <v>49000000</v>
      </c>
      <c r="J78" s="6">
        <v>44327</v>
      </c>
      <c r="K78" s="6">
        <f t="shared" si="11"/>
        <v>44362</v>
      </c>
      <c r="L78" s="349">
        <v>49000000</v>
      </c>
      <c r="M78" s="6">
        <f t="shared" si="12"/>
        <v>44507</v>
      </c>
      <c r="N78" s="349"/>
      <c r="O78" s="349"/>
      <c r="P78" s="6"/>
      <c r="Q78" s="5" t="s">
        <v>272</v>
      </c>
      <c r="R78" s="489" t="s">
        <v>750</v>
      </c>
      <c r="S78" s="381"/>
    </row>
    <row r="79" spans="1:19" s="5" customFormat="1" ht="11.4">
      <c r="A79" s="5" t="s">
        <v>146</v>
      </c>
      <c r="B79" s="5" t="s">
        <v>146</v>
      </c>
      <c r="C79" s="5">
        <v>5321</v>
      </c>
      <c r="D79" s="5" t="s">
        <v>625</v>
      </c>
      <c r="E79" s="5" t="s">
        <v>635</v>
      </c>
      <c r="F79" s="26" t="s">
        <v>354</v>
      </c>
      <c r="G79" s="26" t="s">
        <v>78</v>
      </c>
      <c r="H79" s="352">
        <v>35000000</v>
      </c>
      <c r="I79" s="349">
        <v>35000000</v>
      </c>
      <c r="J79" s="6">
        <v>44238</v>
      </c>
      <c r="K79" s="6">
        <f t="shared" ref="K79:K90" si="13">J79+35</f>
        <v>44273</v>
      </c>
      <c r="L79" s="349">
        <v>35000000</v>
      </c>
      <c r="M79" s="6">
        <f t="shared" si="12"/>
        <v>44418</v>
      </c>
      <c r="N79" s="349"/>
      <c r="O79" s="349"/>
      <c r="P79" s="6"/>
      <c r="Q79" s="5" t="s">
        <v>272</v>
      </c>
      <c r="R79" s="142"/>
      <c r="S79" s="381" t="s">
        <v>665</v>
      </c>
    </row>
    <row r="80" spans="1:19" s="5" customFormat="1" ht="11.4">
      <c r="A80" s="5" t="s">
        <v>146</v>
      </c>
      <c r="B80" s="5" t="s">
        <v>146</v>
      </c>
      <c r="C80" s="5">
        <v>5368</v>
      </c>
      <c r="D80" s="5" t="s">
        <v>625</v>
      </c>
      <c r="E80" s="5" t="s">
        <v>314</v>
      </c>
      <c r="F80" s="26" t="s">
        <v>577</v>
      </c>
      <c r="G80" s="26" t="s">
        <v>80</v>
      </c>
      <c r="H80" s="352">
        <v>30000000</v>
      </c>
      <c r="I80" s="349">
        <f t="shared" ref="I80:I87" si="14">H80</f>
        <v>30000000</v>
      </c>
      <c r="J80" s="6">
        <v>44328</v>
      </c>
      <c r="K80" s="6">
        <f t="shared" si="13"/>
        <v>44363</v>
      </c>
      <c r="L80" s="349">
        <v>30000000</v>
      </c>
      <c r="M80" s="6">
        <f t="shared" si="12"/>
        <v>44508</v>
      </c>
      <c r="N80" s="349"/>
      <c r="O80" s="349"/>
      <c r="P80" s="6"/>
      <c r="Q80" s="5" t="s">
        <v>272</v>
      </c>
      <c r="R80" s="142"/>
      <c r="S80" s="381"/>
    </row>
    <row r="81" spans="1:19" s="5" customFormat="1" ht="11.4">
      <c r="A81" s="5" t="s">
        <v>146</v>
      </c>
      <c r="B81" s="5" t="s">
        <v>146</v>
      </c>
      <c r="C81" s="5">
        <v>5369</v>
      </c>
      <c r="D81" s="5" t="s">
        <v>625</v>
      </c>
      <c r="E81" s="5" t="s">
        <v>314</v>
      </c>
      <c r="F81" s="26" t="s">
        <v>605</v>
      </c>
      <c r="G81" s="26" t="s">
        <v>80</v>
      </c>
      <c r="H81" s="352">
        <v>30000000</v>
      </c>
      <c r="I81" s="349">
        <f t="shared" si="14"/>
        <v>30000000</v>
      </c>
      <c r="J81" s="6">
        <v>44328</v>
      </c>
      <c r="K81" s="6">
        <f t="shared" si="13"/>
        <v>44363</v>
      </c>
      <c r="L81" s="349">
        <v>30000000</v>
      </c>
      <c r="M81" s="6">
        <f t="shared" si="12"/>
        <v>44508</v>
      </c>
      <c r="N81" s="349"/>
      <c r="O81" s="349"/>
      <c r="P81" s="6"/>
      <c r="Q81" s="5" t="s">
        <v>272</v>
      </c>
      <c r="R81" s="142"/>
      <c r="S81" s="381"/>
    </row>
    <row r="82" spans="1:19" s="381" customFormat="1" ht="11.4">
      <c r="A82" s="381" t="s">
        <v>146</v>
      </c>
      <c r="B82" s="381" t="s">
        <v>146</v>
      </c>
      <c r="C82" s="381">
        <v>5371</v>
      </c>
      <c r="D82" s="381" t="s">
        <v>625</v>
      </c>
      <c r="E82" s="381" t="s">
        <v>361</v>
      </c>
      <c r="F82" s="483" t="s">
        <v>584</v>
      </c>
      <c r="G82" s="483" t="s">
        <v>152</v>
      </c>
      <c r="H82" s="484">
        <v>100000000</v>
      </c>
      <c r="I82" s="486">
        <f t="shared" si="14"/>
        <v>100000000</v>
      </c>
      <c r="J82" s="485">
        <v>44336</v>
      </c>
      <c r="K82" s="485">
        <f t="shared" si="13"/>
        <v>44371</v>
      </c>
      <c r="L82" s="486">
        <v>60000000</v>
      </c>
      <c r="M82" s="485">
        <f>J82+150</f>
        <v>44486</v>
      </c>
      <c r="N82" s="486"/>
      <c r="O82" s="486">
        <f>I82-L82</f>
        <v>40000000</v>
      </c>
      <c r="P82" s="485">
        <v>44372</v>
      </c>
      <c r="Q82" s="381" t="s">
        <v>560</v>
      </c>
      <c r="R82" s="487"/>
    </row>
    <row r="83" spans="1:19" s="5" customFormat="1" ht="11.4">
      <c r="A83" s="5" t="s">
        <v>146</v>
      </c>
      <c r="B83" s="5" t="s">
        <v>146</v>
      </c>
      <c r="C83" s="5">
        <v>5372</v>
      </c>
      <c r="D83" s="5" t="s">
        <v>625</v>
      </c>
      <c r="E83" s="5" t="s">
        <v>226</v>
      </c>
      <c r="F83" s="26" t="s">
        <v>712</v>
      </c>
      <c r="G83" s="26" t="s">
        <v>233</v>
      </c>
      <c r="H83" s="352">
        <v>35000000</v>
      </c>
      <c r="I83" s="349">
        <f t="shared" si="14"/>
        <v>35000000</v>
      </c>
      <c r="J83" s="6">
        <v>44336</v>
      </c>
      <c r="K83" s="6">
        <f t="shared" si="13"/>
        <v>44371</v>
      </c>
      <c r="L83" s="349">
        <v>35000000</v>
      </c>
      <c r="M83" s="6">
        <f t="shared" si="12"/>
        <v>44516</v>
      </c>
      <c r="N83" s="349"/>
      <c r="O83" s="349"/>
      <c r="P83" s="6"/>
      <c r="Q83" s="5" t="s">
        <v>242</v>
      </c>
      <c r="R83" s="142"/>
    </row>
    <row r="84" spans="1:19" s="13" customFormat="1">
      <c r="A84" s="13" t="s">
        <v>146</v>
      </c>
      <c r="B84" s="13" t="s">
        <v>146</v>
      </c>
      <c r="C84" s="13">
        <v>5373</v>
      </c>
      <c r="D84" s="13" t="s">
        <v>390</v>
      </c>
      <c r="E84" s="13" t="s">
        <v>153</v>
      </c>
      <c r="F84" s="36" t="s">
        <v>595</v>
      </c>
      <c r="G84" s="36" t="s">
        <v>81</v>
      </c>
      <c r="H84" s="425">
        <v>50000000</v>
      </c>
      <c r="I84" s="289">
        <f t="shared" si="14"/>
        <v>50000000</v>
      </c>
      <c r="J84" s="11">
        <v>44338</v>
      </c>
      <c r="K84" s="11">
        <f t="shared" si="13"/>
        <v>44373</v>
      </c>
      <c r="L84" s="289">
        <v>0</v>
      </c>
      <c r="M84" s="11">
        <f t="shared" si="12"/>
        <v>44518</v>
      </c>
      <c r="N84" s="289">
        <v>0</v>
      </c>
      <c r="O84" s="289">
        <f>I84-L84</f>
        <v>50000000</v>
      </c>
      <c r="P84" s="11">
        <v>44370</v>
      </c>
      <c r="Q84" s="13" t="s">
        <v>242</v>
      </c>
      <c r="R84" s="93"/>
    </row>
    <row r="85" spans="1:19" s="5" customFormat="1" ht="11.4">
      <c r="A85" s="5" t="s">
        <v>146</v>
      </c>
      <c r="B85" s="5" t="s">
        <v>146</v>
      </c>
      <c r="C85" s="5">
        <v>5374</v>
      </c>
      <c r="D85" s="5" t="s">
        <v>625</v>
      </c>
      <c r="E85" s="5" t="s">
        <v>153</v>
      </c>
      <c r="F85" s="26" t="s">
        <v>587</v>
      </c>
      <c r="G85" s="26" t="s">
        <v>81</v>
      </c>
      <c r="H85" s="352">
        <v>35000000</v>
      </c>
      <c r="I85" s="349">
        <f t="shared" si="14"/>
        <v>35000000</v>
      </c>
      <c r="J85" s="6">
        <v>44338</v>
      </c>
      <c r="K85" s="6">
        <f t="shared" si="13"/>
        <v>44373</v>
      </c>
      <c r="L85" s="349">
        <v>35000000</v>
      </c>
      <c r="M85" s="6">
        <f t="shared" si="12"/>
        <v>44518</v>
      </c>
      <c r="N85" s="349"/>
      <c r="O85" s="349"/>
      <c r="P85" s="6"/>
      <c r="Q85" s="5" t="s">
        <v>272</v>
      </c>
      <c r="R85" s="142"/>
    </row>
    <row r="86" spans="1:19" s="5" customFormat="1" ht="11.4">
      <c r="A86" s="5" t="s">
        <v>146</v>
      </c>
      <c r="B86" s="5" t="s">
        <v>146</v>
      </c>
      <c r="C86" s="5">
        <v>5364</v>
      </c>
      <c r="D86" s="5" t="s">
        <v>625</v>
      </c>
      <c r="E86" s="5" t="s">
        <v>161</v>
      </c>
      <c r="F86" s="26" t="s">
        <v>438</v>
      </c>
      <c r="G86" s="26" t="s">
        <v>80</v>
      </c>
      <c r="H86" s="352">
        <v>35000000</v>
      </c>
      <c r="I86" s="349">
        <f t="shared" si="14"/>
        <v>35000000</v>
      </c>
      <c r="J86" s="6">
        <v>44323</v>
      </c>
      <c r="K86" s="6">
        <f t="shared" si="13"/>
        <v>44358</v>
      </c>
      <c r="L86" s="349">
        <v>35000000</v>
      </c>
      <c r="M86" s="6">
        <f>J86+180</f>
        <v>44503</v>
      </c>
      <c r="N86" s="349"/>
      <c r="O86" s="349"/>
      <c r="P86" s="6"/>
      <c r="Q86" s="5" t="s">
        <v>272</v>
      </c>
      <c r="R86" s="142"/>
      <c r="S86" s="381" t="s">
        <v>742</v>
      </c>
    </row>
    <row r="87" spans="1:19" s="5" customFormat="1" ht="11.4">
      <c r="A87" s="5" t="s">
        <v>146</v>
      </c>
      <c r="B87" s="5" t="s">
        <v>146</v>
      </c>
      <c r="C87" s="5">
        <v>5365</v>
      </c>
      <c r="D87" s="5" t="s">
        <v>625</v>
      </c>
      <c r="E87" s="5" t="s">
        <v>234</v>
      </c>
      <c r="F87" s="26" t="s">
        <v>439</v>
      </c>
      <c r="G87" s="26" t="s">
        <v>95</v>
      </c>
      <c r="H87" s="352">
        <v>52000000</v>
      </c>
      <c r="I87" s="349">
        <f t="shared" si="14"/>
        <v>52000000</v>
      </c>
      <c r="J87" s="6">
        <v>44323</v>
      </c>
      <c r="K87" s="6">
        <f t="shared" si="13"/>
        <v>44358</v>
      </c>
      <c r="L87" s="349">
        <v>52000000</v>
      </c>
      <c r="M87" s="6">
        <f>J87+180</f>
        <v>44503</v>
      </c>
      <c r="N87" s="349"/>
      <c r="O87" s="349"/>
      <c r="P87" s="6"/>
      <c r="Q87" s="5" t="s">
        <v>272</v>
      </c>
      <c r="R87" s="142"/>
      <c r="S87" s="381" t="s">
        <v>744</v>
      </c>
    </row>
    <row r="88" spans="1:19" s="381" customFormat="1" ht="11.4">
      <c r="A88" s="381" t="s">
        <v>146</v>
      </c>
      <c r="B88" s="381" t="s">
        <v>146</v>
      </c>
      <c r="C88" s="381">
        <v>5375</v>
      </c>
      <c r="D88" s="381" t="s">
        <v>625</v>
      </c>
      <c r="E88" s="381" t="s">
        <v>83</v>
      </c>
      <c r="F88" s="483" t="s">
        <v>751</v>
      </c>
      <c r="G88" s="483" t="s">
        <v>752</v>
      </c>
      <c r="H88" s="484">
        <v>100000000</v>
      </c>
      <c r="I88" s="486">
        <v>100000000</v>
      </c>
      <c r="J88" s="485">
        <v>44345</v>
      </c>
      <c r="K88" s="485">
        <f t="shared" si="13"/>
        <v>44380</v>
      </c>
      <c r="L88" s="486">
        <v>100000000</v>
      </c>
      <c r="M88" s="485">
        <f>J88+150</f>
        <v>44495</v>
      </c>
      <c r="N88" s="486"/>
      <c r="O88" s="486"/>
      <c r="P88" s="485"/>
      <c r="Q88" s="381" t="s">
        <v>560</v>
      </c>
      <c r="R88" s="487"/>
    </row>
    <row r="89" spans="1:19" s="381" customFormat="1" ht="11.4">
      <c r="A89" s="381" t="s">
        <v>146</v>
      </c>
      <c r="B89" s="381" t="s">
        <v>146</v>
      </c>
      <c r="C89" s="381">
        <v>5378</v>
      </c>
      <c r="D89" s="381" t="s">
        <v>625</v>
      </c>
      <c r="E89" s="381" t="s">
        <v>83</v>
      </c>
      <c r="F89" s="483" t="s">
        <v>548</v>
      </c>
      <c r="G89" s="483" t="s">
        <v>549</v>
      </c>
      <c r="H89" s="484">
        <v>100000000</v>
      </c>
      <c r="I89" s="486">
        <v>100000000</v>
      </c>
      <c r="J89" s="485">
        <v>44359</v>
      </c>
      <c r="K89" s="485">
        <f t="shared" si="13"/>
        <v>44394</v>
      </c>
      <c r="L89" s="486"/>
      <c r="M89" s="485">
        <f>J89+150</f>
        <v>44509</v>
      </c>
      <c r="N89" s="486"/>
      <c r="O89" s="486"/>
      <c r="P89" s="485"/>
      <c r="Q89" s="381" t="s">
        <v>560</v>
      </c>
      <c r="R89" s="487"/>
    </row>
    <row r="90" spans="1:19" s="381" customFormat="1" ht="11.4">
      <c r="A90" s="381" t="s">
        <v>146</v>
      </c>
      <c r="B90" s="381" t="s">
        <v>146</v>
      </c>
      <c r="C90" s="381">
        <v>5384</v>
      </c>
      <c r="D90" s="381" t="s">
        <v>625</v>
      </c>
      <c r="E90" s="381" t="s">
        <v>83</v>
      </c>
      <c r="F90" s="483" t="s">
        <v>600</v>
      </c>
      <c r="G90" s="483" t="s">
        <v>352</v>
      </c>
      <c r="H90" s="484">
        <v>100000000</v>
      </c>
      <c r="I90" s="486">
        <f>H90</f>
        <v>100000000</v>
      </c>
      <c r="J90" s="485">
        <v>44373</v>
      </c>
      <c r="K90" s="485">
        <f t="shared" si="13"/>
        <v>44408</v>
      </c>
      <c r="L90" s="486"/>
      <c r="M90" s="485">
        <f>J90+150</f>
        <v>44523</v>
      </c>
      <c r="N90" s="486"/>
      <c r="O90" s="486"/>
      <c r="P90" s="485"/>
      <c r="Q90" s="381" t="s">
        <v>560</v>
      </c>
      <c r="R90" s="487"/>
    </row>
    <row r="91" spans="1:19" s="5" customFormat="1" ht="11.4">
      <c r="A91" s="5" t="s">
        <v>146</v>
      </c>
      <c r="B91" s="5" t="s">
        <v>146</v>
      </c>
      <c r="C91" s="5">
        <v>5385</v>
      </c>
      <c r="D91" s="5" t="s">
        <v>625</v>
      </c>
      <c r="E91" s="5" t="s">
        <v>153</v>
      </c>
      <c r="F91" s="26" t="s">
        <v>591</v>
      </c>
      <c r="G91" s="26" t="s">
        <v>81</v>
      </c>
      <c r="H91" s="352">
        <v>45000000</v>
      </c>
      <c r="I91" s="349">
        <f>H91</f>
        <v>45000000</v>
      </c>
      <c r="J91" s="6">
        <v>44373</v>
      </c>
      <c r="K91" s="6">
        <f>J91+35</f>
        <v>44408</v>
      </c>
      <c r="L91" s="349"/>
      <c r="M91" s="6">
        <f>J91+180</f>
        <v>44553</v>
      </c>
      <c r="N91" s="349"/>
      <c r="O91" s="349"/>
      <c r="P91" s="6"/>
      <c r="Q91" s="5" t="s">
        <v>272</v>
      </c>
      <c r="R91" s="142"/>
    </row>
    <row r="92" spans="1:19" s="527" customFormat="1">
      <c r="A92" s="446" t="s">
        <v>146</v>
      </c>
      <c r="B92" s="446" t="s">
        <v>146</v>
      </c>
      <c r="C92" s="446" t="s">
        <v>760</v>
      </c>
      <c r="D92" s="446" t="s">
        <v>390</v>
      </c>
      <c r="E92" s="446" t="s">
        <v>225</v>
      </c>
      <c r="F92" s="447" t="s">
        <v>761</v>
      </c>
      <c r="G92" s="447" t="s">
        <v>762</v>
      </c>
      <c r="H92" s="525">
        <v>0</v>
      </c>
      <c r="I92" s="550"/>
      <c r="J92" s="551"/>
      <c r="K92" s="551"/>
      <c r="L92" s="550"/>
      <c r="M92" s="551"/>
      <c r="N92" s="550"/>
      <c r="O92" s="550"/>
      <c r="P92" s="551"/>
      <c r="Q92" s="446" t="s">
        <v>272</v>
      </c>
      <c r="R92" s="552"/>
    </row>
    <row r="93" spans="1:19" s="472" customFormat="1">
      <c r="A93" s="13" t="s">
        <v>146</v>
      </c>
      <c r="B93" s="13" t="s">
        <v>146</v>
      </c>
      <c r="C93" s="13" t="s">
        <v>774</v>
      </c>
      <c r="D93" s="13" t="s">
        <v>43</v>
      </c>
      <c r="E93" s="13" t="s">
        <v>775</v>
      </c>
      <c r="F93" s="36" t="s">
        <v>776</v>
      </c>
      <c r="G93" s="36" t="s">
        <v>777</v>
      </c>
      <c r="H93" s="425">
        <v>35000000</v>
      </c>
      <c r="I93" s="354"/>
      <c r="J93" s="475"/>
      <c r="K93" s="475"/>
      <c r="L93" s="354"/>
      <c r="M93" s="475"/>
      <c r="N93" s="354"/>
      <c r="O93" s="354"/>
      <c r="P93" s="475"/>
      <c r="Q93" s="13" t="s">
        <v>272</v>
      </c>
      <c r="R93" s="476"/>
    </row>
    <row r="94" spans="1:19" s="472" customFormat="1">
      <c r="A94" s="13" t="s">
        <v>146</v>
      </c>
      <c r="B94" s="13" t="s">
        <v>146</v>
      </c>
      <c r="C94" s="13" t="s">
        <v>782</v>
      </c>
      <c r="D94" s="13" t="s">
        <v>43</v>
      </c>
      <c r="E94" s="13" t="s">
        <v>153</v>
      </c>
      <c r="F94" s="36" t="s">
        <v>595</v>
      </c>
      <c r="G94" s="36" t="s">
        <v>81</v>
      </c>
      <c r="H94" s="425">
        <v>50000000</v>
      </c>
      <c r="I94" s="354"/>
      <c r="J94" s="475"/>
      <c r="K94" s="475"/>
      <c r="L94" s="354"/>
      <c r="M94" s="475"/>
      <c r="N94" s="354"/>
      <c r="O94" s="354"/>
      <c r="P94" s="475"/>
      <c r="Q94" s="13" t="s">
        <v>272</v>
      </c>
      <c r="R94" s="476"/>
    </row>
    <row r="95" spans="1:19" s="472" customFormat="1">
      <c r="A95" s="13" t="s">
        <v>146</v>
      </c>
      <c r="B95" s="13" t="s">
        <v>146</v>
      </c>
      <c r="C95" s="13" t="s">
        <v>785</v>
      </c>
      <c r="D95" s="13" t="s">
        <v>43</v>
      </c>
      <c r="E95" s="13" t="s">
        <v>623</v>
      </c>
      <c r="F95" s="36" t="s">
        <v>786</v>
      </c>
      <c r="G95" s="36" t="s">
        <v>81</v>
      </c>
      <c r="H95" s="425">
        <v>30000000</v>
      </c>
      <c r="I95" s="354"/>
      <c r="J95" s="475"/>
      <c r="K95" s="475"/>
      <c r="L95" s="354"/>
      <c r="M95" s="475"/>
      <c r="N95" s="354"/>
      <c r="O95" s="354"/>
      <c r="P95" s="475"/>
      <c r="Q95" s="13" t="s">
        <v>272</v>
      </c>
      <c r="R95" s="476"/>
    </row>
    <row r="96" spans="1:19" s="13" customFormat="1">
      <c r="F96" s="36"/>
      <c r="G96" s="36"/>
      <c r="H96" s="66"/>
      <c r="I96" s="27"/>
      <c r="J96" s="11"/>
      <c r="K96" s="11"/>
      <c r="L96" s="27"/>
      <c r="M96" s="11"/>
      <c r="N96" s="27"/>
      <c r="O96" s="27"/>
      <c r="P96" s="11"/>
      <c r="R96" s="11"/>
    </row>
    <row r="97" spans="1:18" s="13" customFormat="1">
      <c r="A97" s="43"/>
      <c r="B97" s="43"/>
      <c r="C97" s="43"/>
      <c r="D97" s="43"/>
      <c r="E97" s="1"/>
      <c r="F97" s="13" t="s">
        <v>19</v>
      </c>
      <c r="H97" s="263">
        <f>SUM(H7:H96)</f>
        <v>3484658210</v>
      </c>
      <c r="I97" s="263">
        <f>SUM(I7:I96)</f>
        <v>3369658210</v>
      </c>
      <c r="J97" s="3"/>
      <c r="K97" s="1"/>
      <c r="L97" s="263">
        <f>SUM(L7:L96)</f>
        <v>2081652737</v>
      </c>
      <c r="M97" s="3"/>
      <c r="N97" s="263">
        <f>SUM(N7:N96)</f>
        <v>184664395.19999999</v>
      </c>
      <c r="O97" s="263">
        <f>SUM(O7:O96)</f>
        <v>2029793814.8</v>
      </c>
    </row>
    <row r="98" spans="1:18">
      <c r="A98" s="5"/>
      <c r="B98" s="5"/>
      <c r="C98" s="5"/>
      <c r="D98" s="88"/>
      <c r="F98" s="13"/>
      <c r="J98" s="3"/>
      <c r="K98" s="3"/>
      <c r="M98" s="3"/>
    </row>
    <row r="99" spans="1:18">
      <c r="A99" s="5"/>
      <c r="B99" s="5"/>
      <c r="C99" s="5"/>
      <c r="E99" s="5"/>
      <c r="F99" s="13" t="s">
        <v>43</v>
      </c>
      <c r="G99" s="5"/>
      <c r="H99" s="34">
        <f>H97-I97</f>
        <v>115000000</v>
      </c>
      <c r="I99" s="9"/>
      <c r="J99" s="3"/>
      <c r="K99" s="3"/>
      <c r="M99" s="76"/>
    </row>
    <row r="100" spans="1:18">
      <c r="A100" s="5"/>
      <c r="B100" s="5"/>
      <c r="C100" s="5"/>
      <c r="E100" s="5"/>
      <c r="G100" s="5"/>
      <c r="H100" s="67"/>
      <c r="I100" s="9"/>
      <c r="J100" s="3"/>
      <c r="K100" s="3"/>
      <c r="L100" s="3"/>
      <c r="M100" s="76"/>
      <c r="O100" s="3"/>
    </row>
    <row r="101" spans="1:18">
      <c r="A101" s="5"/>
      <c r="B101" s="5"/>
      <c r="C101" s="5"/>
      <c r="E101" s="133"/>
      <c r="F101" s="58" t="s">
        <v>75</v>
      </c>
      <c r="G101" s="5"/>
      <c r="H101" s="77">
        <f>E1-I97+O97+G112</f>
        <v>15638973.799999952</v>
      </c>
      <c r="I101" s="195"/>
      <c r="J101" s="3"/>
      <c r="K101" s="3"/>
      <c r="L101" s="3"/>
      <c r="M101" s="3"/>
      <c r="N101" s="9"/>
    </row>
    <row r="102" spans="1:18">
      <c r="A102" s="5"/>
      <c r="B102" s="5"/>
      <c r="C102" s="5"/>
      <c r="H102" s="251"/>
      <c r="J102" s="353"/>
      <c r="K102" s="3"/>
      <c r="L102" s="257"/>
      <c r="M102" s="3"/>
      <c r="N102" s="9"/>
    </row>
    <row r="103" spans="1:18">
      <c r="A103" s="5"/>
      <c r="B103" s="5"/>
      <c r="C103" s="5"/>
      <c r="H103" s="83"/>
      <c r="I103" s="171"/>
      <c r="J103" s="3"/>
      <c r="K103" s="3"/>
      <c r="L103" s="257"/>
      <c r="M103" s="3"/>
      <c r="N103" s="83"/>
    </row>
    <row r="104" spans="1:18" s="13" customFormat="1">
      <c r="G104" s="148"/>
      <c r="H104" s="361"/>
      <c r="I104" s="314"/>
      <c r="J104" s="3"/>
      <c r="K104" s="11"/>
      <c r="L104" s="462"/>
      <c r="M104" s="11"/>
      <c r="N104" s="49"/>
      <c r="P104" s="11"/>
      <c r="R104" s="43"/>
    </row>
    <row r="105" spans="1:18" s="13" customFormat="1">
      <c r="C105" s="43"/>
      <c r="D105" s="1"/>
      <c r="E105" s="148"/>
      <c r="F105" s="43"/>
      <c r="G105" s="9"/>
      <c r="H105" s="210"/>
      <c r="I105" s="314"/>
      <c r="J105" s="3"/>
      <c r="K105" s="412"/>
      <c r="L105" s="350"/>
      <c r="M105" s="10"/>
      <c r="N105" s="10"/>
      <c r="O105" s="10"/>
      <c r="P105" s="11"/>
      <c r="R105" s="43"/>
    </row>
    <row r="106" spans="1:18" s="13" customFormat="1">
      <c r="C106" s="43">
        <v>5259</v>
      </c>
      <c r="D106" s="43" t="s">
        <v>77</v>
      </c>
      <c r="E106" s="148" t="s">
        <v>282</v>
      </c>
      <c r="F106" s="148" t="s">
        <v>94</v>
      </c>
      <c r="G106" s="9">
        <v>35000000</v>
      </c>
      <c r="H106" s="288" t="s">
        <v>664</v>
      </c>
      <c r="I106" s="314"/>
      <c r="J106" s="361"/>
      <c r="K106" s="11"/>
      <c r="L106" s="361"/>
      <c r="M106" s="49"/>
      <c r="N106" s="361"/>
      <c r="O106" s="289"/>
      <c r="P106" s="11"/>
      <c r="R106" s="43"/>
    </row>
    <row r="107" spans="1:18" s="13" customFormat="1">
      <c r="C107" s="43">
        <v>5212</v>
      </c>
      <c r="D107" s="43" t="s">
        <v>77</v>
      </c>
      <c r="E107" s="148" t="s">
        <v>223</v>
      </c>
      <c r="F107" s="148" t="s">
        <v>94</v>
      </c>
      <c r="G107" s="9">
        <v>2500000</v>
      </c>
      <c r="H107" s="288" t="s">
        <v>728</v>
      </c>
      <c r="I107" s="314"/>
      <c r="J107" s="361"/>
      <c r="K107" s="11"/>
      <c r="L107" s="361"/>
      <c r="M107" s="49"/>
      <c r="N107" s="361"/>
      <c r="O107" s="289"/>
      <c r="P107" s="11"/>
      <c r="R107" s="43"/>
    </row>
    <row r="108" spans="1:18" s="13" customFormat="1">
      <c r="C108" s="43">
        <v>5268</v>
      </c>
      <c r="D108" s="43" t="s">
        <v>77</v>
      </c>
      <c r="E108" s="148" t="s">
        <v>83</v>
      </c>
      <c r="F108" s="148" t="s">
        <v>727</v>
      </c>
      <c r="G108" s="9">
        <v>25000000</v>
      </c>
      <c r="H108" s="288" t="s">
        <v>757</v>
      </c>
      <c r="I108" s="314"/>
      <c r="J108" s="361"/>
      <c r="K108" s="11"/>
      <c r="L108" s="361"/>
      <c r="M108" s="49"/>
      <c r="N108" s="361"/>
      <c r="O108" s="289"/>
      <c r="P108" s="11"/>
      <c r="R108" s="43"/>
    </row>
    <row r="109" spans="1:18" s="13" customFormat="1">
      <c r="C109" s="43">
        <v>5263</v>
      </c>
      <c r="D109" s="43" t="s">
        <v>77</v>
      </c>
      <c r="E109" s="148" t="s">
        <v>153</v>
      </c>
      <c r="F109" s="148" t="s">
        <v>94</v>
      </c>
      <c r="G109" s="9">
        <v>6000000</v>
      </c>
      <c r="H109" s="288" t="s">
        <v>732</v>
      </c>
      <c r="I109" s="314"/>
      <c r="J109" s="361"/>
      <c r="K109" s="11"/>
      <c r="L109" s="361"/>
      <c r="M109" s="49"/>
      <c r="N109" s="361"/>
      <c r="O109" s="289"/>
      <c r="P109" s="11"/>
      <c r="R109" s="43"/>
    </row>
    <row r="110" spans="1:18" s="13" customFormat="1">
      <c r="C110" s="43">
        <v>4895</v>
      </c>
      <c r="D110" s="43" t="s">
        <v>77</v>
      </c>
      <c r="E110" s="148" t="s">
        <v>161</v>
      </c>
      <c r="F110" s="148" t="s">
        <v>296</v>
      </c>
      <c r="G110" s="9">
        <v>35000000</v>
      </c>
      <c r="H110" s="210" t="s">
        <v>741</v>
      </c>
      <c r="I110" s="314"/>
      <c r="J110" s="361"/>
      <c r="K110" s="11"/>
      <c r="L110" s="361"/>
      <c r="M110" s="49"/>
      <c r="N110" s="361"/>
      <c r="O110" s="289"/>
      <c r="P110" s="11"/>
      <c r="R110" s="43"/>
    </row>
    <row r="111" spans="1:18" s="13" customFormat="1">
      <c r="C111" s="43">
        <v>5079</v>
      </c>
      <c r="D111" s="43" t="s">
        <v>77</v>
      </c>
      <c r="E111" s="148" t="s">
        <v>234</v>
      </c>
      <c r="F111" s="148" t="s">
        <v>94</v>
      </c>
      <c r="G111" s="452">
        <v>52000000</v>
      </c>
      <c r="H111" s="210" t="s">
        <v>743</v>
      </c>
      <c r="I111" s="314"/>
      <c r="J111" s="361"/>
      <c r="K111" s="11"/>
      <c r="L111" s="361"/>
      <c r="M111" s="49"/>
      <c r="N111" s="361"/>
      <c r="O111" s="289"/>
      <c r="P111" s="11"/>
      <c r="R111" s="43"/>
    </row>
    <row r="112" spans="1:18">
      <c r="E112" s="43"/>
      <c r="G112" s="301">
        <f>SUM(G106:G111)</f>
        <v>155500000</v>
      </c>
      <c r="H112" s="3"/>
      <c r="I112" s="3"/>
      <c r="M112" s="395"/>
      <c r="N112" s="167"/>
    </row>
    <row r="113" spans="5:17">
      <c r="E113" s="43"/>
      <c r="I113" s="83"/>
      <c r="M113" s="395"/>
      <c r="N113" s="467"/>
      <c r="Q113" s="1"/>
    </row>
    <row r="114" spans="5:17">
      <c r="J114" s="3"/>
      <c r="N114" s="468"/>
      <c r="Q114" s="1"/>
    </row>
    <row r="115" spans="5:17">
      <c r="J115" s="3"/>
      <c r="Q115" s="1"/>
    </row>
    <row r="116" spans="5:17">
      <c r="J116" s="3"/>
      <c r="Q116" s="1"/>
    </row>
    <row r="117" spans="5:17">
      <c r="J117" s="3"/>
      <c r="Q117" s="1"/>
    </row>
    <row r="118" spans="5:17">
      <c r="G118" s="167"/>
      <c r="Q118" s="1"/>
    </row>
    <row r="119" spans="5:17">
      <c r="G119" s="14"/>
      <c r="H119" s="1"/>
      <c r="Q119" s="1"/>
    </row>
    <row r="120" spans="5:17">
      <c r="G120" s="395"/>
      <c r="Q120" s="1"/>
    </row>
    <row r="121" spans="5:17">
      <c r="G121" s="3"/>
      <c r="H121" s="3"/>
      <c r="I121" s="3"/>
      <c r="J121" s="3"/>
      <c r="K121" s="3"/>
      <c r="L121" s="3"/>
      <c r="M121" s="3"/>
      <c r="Q121" s="1"/>
    </row>
    <row r="122" spans="5:17">
      <c r="G122" s="3"/>
      <c r="H122" s="3"/>
      <c r="I122" s="3"/>
      <c r="J122" s="3"/>
      <c r="K122" s="3"/>
      <c r="L122" s="3"/>
      <c r="M122" s="3"/>
      <c r="Q122" s="1"/>
    </row>
    <row r="123" spans="5:17">
      <c r="H123" s="1"/>
      <c r="L123" s="1"/>
      <c r="Q123" s="1"/>
    </row>
    <row r="124" spans="5:17">
      <c r="H124" s="1"/>
      <c r="L124" s="1"/>
      <c r="Q124" s="1"/>
    </row>
    <row r="125" spans="5:17">
      <c r="H125" s="1"/>
      <c r="L125" s="1"/>
      <c r="Q125" s="1"/>
    </row>
    <row r="126" spans="5:17">
      <c r="G126" s="168"/>
      <c r="H126" s="168"/>
      <c r="I126" s="168"/>
      <c r="J126" s="168"/>
      <c r="K126" s="168"/>
      <c r="L126" s="168"/>
      <c r="M126" s="168"/>
      <c r="Q126" s="1"/>
    </row>
    <row r="127" spans="5:17">
      <c r="G127" s="168"/>
      <c r="H127" s="168"/>
      <c r="I127" s="168"/>
      <c r="J127" s="168"/>
      <c r="K127" s="168"/>
      <c r="L127" s="168"/>
      <c r="M127" s="168"/>
      <c r="Q127" s="1"/>
    </row>
    <row r="128" spans="5:17">
      <c r="G128" s="167"/>
      <c r="Q128" s="1"/>
    </row>
    <row r="129" spans="7:17">
      <c r="G129" s="396"/>
      <c r="H129" s="1"/>
      <c r="L129" s="1"/>
      <c r="Q129" s="1"/>
    </row>
    <row r="130" spans="7:17">
      <c r="G130" s="397"/>
      <c r="H130" s="1"/>
      <c r="L130" s="1"/>
      <c r="Q130" s="1"/>
    </row>
    <row r="132" spans="7:17">
      <c r="G132" s="168"/>
      <c r="H132" s="1"/>
      <c r="L132" s="1"/>
      <c r="Q132" s="1"/>
    </row>
  </sheetData>
  <autoFilter ref="A6:S74" xr:uid="{00000000-0001-0000-1400-000000000000}">
    <sortState xmlns:xlrd2="http://schemas.microsoft.com/office/spreadsheetml/2017/richdata2" ref="A7:S74">
      <sortCondition ref="A6:A74"/>
    </sortState>
  </autoFilter>
  <phoneticPr fontId="0" type="noConversion"/>
  <pageMargins left="0.75" right="0.75" top="1" bottom="1" header="0.5" footer="0.5"/>
  <pageSetup scale="50" fitToHeight="3" orientation="landscape" horizontalDpi="4294967292" verticalDpi="4294967292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95AF12-B259-44E6-AE94-4C162E6F78F1}">
  <sheetPr codeName="Sheet25"/>
  <dimension ref="A1:T49"/>
  <sheetViews>
    <sheetView zoomScaleNormal="100" workbookViewId="0">
      <selection activeCell="M35" sqref="M35"/>
    </sheetView>
  </sheetViews>
  <sheetFormatPr defaultRowHeight="11.4"/>
  <cols>
    <col min="1" max="1" width="9.625" customWidth="1"/>
    <col min="2" max="2" width="12" customWidth="1"/>
    <col min="3" max="3" width="39.125" bestFit="1" customWidth="1"/>
    <col min="4" max="4" width="42.625" bestFit="1" customWidth="1"/>
    <col min="5" max="5" width="12.125" bestFit="1" customWidth="1"/>
    <col min="6" max="6" width="16.375" bestFit="1" customWidth="1"/>
    <col min="7" max="7" width="17.375" bestFit="1" customWidth="1"/>
    <col min="8" max="8" width="15.25" bestFit="1" customWidth="1"/>
    <col min="9" max="9" width="11.875" bestFit="1" customWidth="1"/>
    <col min="10" max="10" width="17.75" bestFit="1" customWidth="1"/>
    <col min="11" max="11" width="11.875" bestFit="1" customWidth="1"/>
    <col min="12" max="12" width="17.625" bestFit="1" customWidth="1"/>
    <col min="13" max="13" width="18.625" bestFit="1" customWidth="1"/>
    <col min="14" max="14" width="9.375" customWidth="1"/>
    <col min="15" max="15" width="9.125" customWidth="1"/>
    <col min="16" max="16" width="6.375" customWidth="1"/>
    <col min="17" max="17" width="12.25" bestFit="1" customWidth="1"/>
    <col min="18" max="19" width="2.75" customWidth="1"/>
    <col min="20" max="20" width="26.25" bestFit="1" customWidth="1"/>
  </cols>
  <sheetData>
    <row r="1" spans="1:20" ht="13.2">
      <c r="A1" s="159"/>
      <c r="B1" s="159" t="s">
        <v>239</v>
      </c>
      <c r="C1" s="160"/>
      <c r="D1" s="161"/>
      <c r="E1" s="163"/>
      <c r="F1" s="173"/>
      <c r="G1" s="173"/>
      <c r="H1" s="174"/>
      <c r="I1" s="174"/>
      <c r="J1" s="175"/>
      <c r="K1" s="174"/>
      <c r="L1" s="173"/>
      <c r="M1" s="174"/>
      <c r="N1" s="370"/>
      <c r="O1" s="370"/>
      <c r="P1" s="370"/>
      <c r="Q1" s="272"/>
      <c r="T1" s="341" t="s">
        <v>89</v>
      </c>
    </row>
    <row r="2" spans="1:20" ht="13.2">
      <c r="A2" s="153" t="s">
        <v>32</v>
      </c>
      <c r="B2" s="273" t="s">
        <v>37</v>
      </c>
      <c r="C2" s="274" t="s">
        <v>31</v>
      </c>
      <c r="D2" s="275" t="s">
        <v>49</v>
      </c>
      <c r="E2" s="275" t="s">
        <v>45</v>
      </c>
      <c r="F2" s="176" t="s">
        <v>84</v>
      </c>
      <c r="G2" s="176" t="s">
        <v>85</v>
      </c>
      <c r="H2" s="276" t="s">
        <v>96</v>
      </c>
      <c r="I2" s="276" t="s">
        <v>86</v>
      </c>
      <c r="J2" s="177" t="s">
        <v>87</v>
      </c>
      <c r="K2" s="276"/>
      <c r="L2" s="176" t="s">
        <v>88</v>
      </c>
      <c r="M2" s="277" t="s">
        <v>89</v>
      </c>
      <c r="N2" s="371" t="s">
        <v>22</v>
      </c>
      <c r="O2" s="373" t="s">
        <v>172</v>
      </c>
      <c r="P2" s="373" t="s">
        <v>252</v>
      </c>
      <c r="Q2" s="374" t="s">
        <v>254</v>
      </c>
      <c r="T2" s="342" t="s">
        <v>90</v>
      </c>
    </row>
    <row r="3" spans="1:20" ht="13.2">
      <c r="A3" s="153" t="s">
        <v>48</v>
      </c>
      <c r="B3" s="279"/>
      <c r="C3" s="274"/>
      <c r="D3" s="275"/>
      <c r="E3" s="275"/>
      <c r="F3" s="176" t="s">
        <v>55</v>
      </c>
      <c r="G3" s="176" t="s">
        <v>55</v>
      </c>
      <c r="H3" s="276" t="s">
        <v>9</v>
      </c>
      <c r="I3" s="276" t="s">
        <v>18</v>
      </c>
      <c r="J3" s="177" t="s">
        <v>55</v>
      </c>
      <c r="K3" s="276" t="s">
        <v>18</v>
      </c>
      <c r="L3" s="176" t="s">
        <v>55</v>
      </c>
      <c r="M3" s="277" t="s">
        <v>90</v>
      </c>
      <c r="N3" s="371" t="s">
        <v>5</v>
      </c>
      <c r="O3" s="373" t="s">
        <v>171</v>
      </c>
      <c r="P3" s="373" t="s">
        <v>253</v>
      </c>
      <c r="Q3" s="374" t="s">
        <v>255</v>
      </c>
      <c r="T3" s="342" t="s">
        <v>371</v>
      </c>
    </row>
    <row r="4" spans="1:20" ht="13.8" thickBot="1">
      <c r="A4" s="154" t="s">
        <v>17</v>
      </c>
      <c r="B4" s="155"/>
      <c r="C4" s="156"/>
      <c r="D4" s="157"/>
      <c r="E4" s="157"/>
      <c r="F4" s="178"/>
      <c r="G4" s="178"/>
      <c r="H4" s="179"/>
      <c r="I4" s="179"/>
      <c r="J4" s="180"/>
      <c r="K4" s="179"/>
      <c r="L4" s="178"/>
      <c r="M4" s="178"/>
      <c r="N4" s="372" t="s">
        <v>9</v>
      </c>
      <c r="O4" s="372"/>
      <c r="P4" s="372"/>
      <c r="Q4" s="375" t="s">
        <v>9</v>
      </c>
      <c r="T4" s="343" t="s">
        <v>440</v>
      </c>
    </row>
    <row r="5" spans="1:20" ht="12">
      <c r="A5" s="31" t="s">
        <v>149</v>
      </c>
      <c r="H5" s="200"/>
      <c r="I5" s="3"/>
      <c r="J5" s="124"/>
      <c r="K5" s="7"/>
      <c r="L5" s="124"/>
      <c r="M5" s="124"/>
      <c r="N5" s="7"/>
    </row>
    <row r="6" spans="1:20" s="4" customFormat="1">
      <c r="A6" s="31" t="s">
        <v>240</v>
      </c>
      <c r="B6" s="4" t="s">
        <v>77</v>
      </c>
      <c r="C6" s="4" t="s">
        <v>98</v>
      </c>
      <c r="D6" s="4" t="s">
        <v>220</v>
      </c>
      <c r="E6" s="4" t="s">
        <v>79</v>
      </c>
      <c r="F6" s="124">
        <v>35000000</v>
      </c>
      <c r="G6" s="124">
        <f>F6</f>
        <v>35000000</v>
      </c>
      <c r="H6" s="7">
        <v>43474</v>
      </c>
      <c r="I6" s="7">
        <v>43474</v>
      </c>
      <c r="J6" s="124">
        <f>G6</f>
        <v>35000000</v>
      </c>
      <c r="K6" s="7">
        <v>44560</v>
      </c>
      <c r="L6" s="124">
        <v>0</v>
      </c>
      <c r="M6" s="124">
        <f t="shared" ref="M6" si="0">J6-L6</f>
        <v>35000000</v>
      </c>
      <c r="N6" s="7">
        <v>43474</v>
      </c>
      <c r="O6" s="5">
        <v>3</v>
      </c>
      <c r="P6" s="5">
        <v>273</v>
      </c>
      <c r="Q6" s="6">
        <v>43102</v>
      </c>
      <c r="T6" s="124">
        <f>M6</f>
        <v>35000000</v>
      </c>
    </row>
    <row r="7" spans="1:20" s="1" customFormat="1" ht="12">
      <c r="A7" s="137"/>
      <c r="F7" s="9"/>
      <c r="G7" s="9"/>
      <c r="H7" s="3"/>
      <c r="J7" s="9"/>
      <c r="L7" s="9"/>
      <c r="M7" s="9"/>
    </row>
    <row r="8" spans="1:20" ht="12">
      <c r="F8" s="194">
        <f>SUM(F5:F7)</f>
        <v>35000000</v>
      </c>
      <c r="G8" s="194">
        <f>SUM(G5:G7)</f>
        <v>35000000</v>
      </c>
      <c r="H8" s="133"/>
      <c r="I8" s="133"/>
      <c r="J8" s="329">
        <f>SUM(J5:J7)</f>
        <v>35000000</v>
      </c>
      <c r="K8" s="133"/>
      <c r="L8" s="85">
        <f>SUM(L5:L7)</f>
        <v>0</v>
      </c>
      <c r="M8" s="85">
        <f>SUM(M5:M7)</f>
        <v>35000000</v>
      </c>
      <c r="T8" s="194">
        <f>SUM(T6)</f>
        <v>35000000</v>
      </c>
    </row>
    <row r="10" spans="1:20">
      <c r="F10" s="193"/>
      <c r="G10" s="366"/>
    </row>
    <row r="11" spans="1:20" ht="12" thickBot="1">
      <c r="F11" s="198"/>
    </row>
    <row r="12" spans="1:20" ht="13.2">
      <c r="A12" s="159"/>
      <c r="B12" s="159" t="s">
        <v>256</v>
      </c>
      <c r="C12" s="131"/>
      <c r="D12" s="131"/>
      <c r="E12" s="131"/>
      <c r="F12" s="181"/>
      <c r="G12" s="181"/>
      <c r="H12" s="181"/>
      <c r="I12" s="181"/>
      <c r="J12" s="181"/>
      <c r="K12" s="181"/>
      <c r="L12" s="181"/>
      <c r="M12" s="181"/>
      <c r="N12" s="281"/>
    </row>
    <row r="13" spans="1:20" ht="13.2">
      <c r="A13" s="153" t="s">
        <v>32</v>
      </c>
      <c r="B13" s="273" t="s">
        <v>37</v>
      </c>
      <c r="C13" s="274" t="s">
        <v>31</v>
      </c>
      <c r="D13" s="282" t="s">
        <v>49</v>
      </c>
      <c r="E13" s="282" t="s">
        <v>45</v>
      </c>
      <c r="F13" s="176" t="s">
        <v>84</v>
      </c>
      <c r="G13" s="176" t="s">
        <v>54</v>
      </c>
      <c r="H13" s="276"/>
      <c r="I13" s="276" t="s">
        <v>34</v>
      </c>
      <c r="J13" s="177" t="s">
        <v>87</v>
      </c>
      <c r="K13" s="276"/>
      <c r="L13" s="176" t="s">
        <v>92</v>
      </c>
      <c r="M13" s="277" t="s">
        <v>89</v>
      </c>
      <c r="N13" s="278" t="s">
        <v>22</v>
      </c>
    </row>
    <row r="14" spans="1:20" ht="13.2">
      <c r="A14" s="153" t="s">
        <v>48</v>
      </c>
      <c r="B14" s="279"/>
      <c r="C14" s="274"/>
      <c r="D14" s="282"/>
      <c r="E14" s="282"/>
      <c r="F14" s="176" t="s">
        <v>55</v>
      </c>
      <c r="G14" s="176" t="s">
        <v>55</v>
      </c>
      <c r="H14" s="276" t="s">
        <v>9</v>
      </c>
      <c r="I14" s="276" t="s">
        <v>18</v>
      </c>
      <c r="J14" s="177" t="s">
        <v>55</v>
      </c>
      <c r="K14" s="276" t="s">
        <v>18</v>
      </c>
      <c r="L14" s="176" t="s">
        <v>55</v>
      </c>
      <c r="M14" s="277" t="s">
        <v>90</v>
      </c>
      <c r="N14" s="278" t="s">
        <v>5</v>
      </c>
    </row>
    <row r="15" spans="1:20" ht="13.8" thickBot="1">
      <c r="A15" s="154" t="s">
        <v>17</v>
      </c>
      <c r="B15" s="155"/>
      <c r="C15" s="156"/>
      <c r="D15" s="158"/>
      <c r="E15" s="158"/>
      <c r="F15" s="178"/>
      <c r="G15" s="178"/>
      <c r="H15" s="179"/>
      <c r="I15" s="179"/>
      <c r="J15" s="182"/>
      <c r="K15" s="179"/>
      <c r="L15" s="178"/>
      <c r="M15" s="183" t="s">
        <v>93</v>
      </c>
      <c r="N15" s="280" t="s">
        <v>9</v>
      </c>
    </row>
    <row r="16" spans="1:20">
      <c r="A16" s="162" t="s">
        <v>56</v>
      </c>
    </row>
    <row r="17" spans="1:20" s="186" customFormat="1" ht="12">
      <c r="A17" s="48"/>
      <c r="B17" s="48"/>
      <c r="C17" s="283"/>
      <c r="D17" s="283"/>
      <c r="E17" s="283"/>
      <c r="F17" s="124"/>
      <c r="G17" s="124"/>
      <c r="H17" s="7"/>
      <c r="I17" s="184"/>
      <c r="J17" s="124"/>
      <c r="K17" s="184"/>
      <c r="L17" s="32"/>
      <c r="M17" s="124"/>
      <c r="N17" s="152"/>
    </row>
    <row r="18" spans="1:20" ht="12">
      <c r="A18" s="13"/>
      <c r="B18" s="13"/>
      <c r="C18" s="13"/>
      <c r="D18" s="13"/>
      <c r="E18" s="13"/>
      <c r="F18" s="289"/>
      <c r="G18" s="185"/>
      <c r="H18" s="185"/>
      <c r="I18" s="185"/>
      <c r="J18" s="185"/>
      <c r="K18" s="185"/>
      <c r="M18" s="204"/>
      <c r="N18" s="152"/>
    </row>
    <row r="19" spans="1:20" ht="12">
      <c r="F19" s="185"/>
      <c r="G19" s="185"/>
      <c r="H19" s="185"/>
      <c r="I19" s="185"/>
      <c r="J19" s="194">
        <f>SUM(J17:J18)</f>
        <v>0</v>
      </c>
      <c r="K19" s="330"/>
      <c r="L19" s="194">
        <f>SUM(L17:L18)</f>
        <v>0</v>
      </c>
      <c r="M19" s="194">
        <f>SUM(M17:M18)</f>
        <v>0</v>
      </c>
      <c r="N19" s="152"/>
      <c r="T19" s="194">
        <f>SUM(T17)</f>
        <v>0</v>
      </c>
    </row>
    <row r="20" spans="1:20" ht="12">
      <c r="F20" s="185"/>
      <c r="G20" s="185"/>
      <c r="H20" s="290"/>
      <c r="I20" s="185"/>
      <c r="J20" s="185"/>
      <c r="K20" s="185"/>
      <c r="N20" s="152"/>
    </row>
    <row r="21" spans="1:20" ht="12.6" thickBot="1">
      <c r="F21" s="185"/>
      <c r="G21" s="185"/>
      <c r="H21" s="290"/>
      <c r="I21" s="185"/>
      <c r="J21" s="185"/>
      <c r="K21" s="185"/>
      <c r="N21" s="152"/>
    </row>
    <row r="22" spans="1:20" ht="12">
      <c r="A22" s="169" t="s">
        <v>94</v>
      </c>
      <c r="F22" s="185"/>
      <c r="G22" s="188"/>
      <c r="H22" s="152"/>
      <c r="I22" s="185"/>
      <c r="J22" s="185"/>
      <c r="K22" s="290"/>
      <c r="N22" s="152"/>
    </row>
    <row r="23" spans="1:20" ht="12">
      <c r="A23" s="43">
        <v>4895</v>
      </c>
      <c r="B23" s="43" t="s">
        <v>77</v>
      </c>
      <c r="C23" s="148" t="s">
        <v>161</v>
      </c>
      <c r="D23" s="148" t="s">
        <v>296</v>
      </c>
      <c r="E23" s="148" t="s">
        <v>80</v>
      </c>
      <c r="F23" s="9">
        <v>35000000</v>
      </c>
      <c r="G23" s="9">
        <v>35000000</v>
      </c>
      <c r="H23" s="3">
        <v>43300</v>
      </c>
      <c r="I23" s="152">
        <v>43335</v>
      </c>
      <c r="J23" s="9">
        <v>35000000</v>
      </c>
      <c r="K23" s="152">
        <v>44560</v>
      </c>
      <c r="L23" s="354">
        <v>35000000</v>
      </c>
      <c r="M23" s="490">
        <f>J23-L23</f>
        <v>0</v>
      </c>
      <c r="N23" s="491">
        <v>44323</v>
      </c>
      <c r="O23" s="210" t="s">
        <v>741</v>
      </c>
      <c r="T23" s="124">
        <f>M23</f>
        <v>0</v>
      </c>
    </row>
    <row r="24" spans="1:20" ht="12">
      <c r="A24" s="43">
        <v>4903</v>
      </c>
      <c r="B24" s="43" t="s">
        <v>77</v>
      </c>
      <c r="C24" s="148" t="s">
        <v>161</v>
      </c>
      <c r="D24" s="148" t="s">
        <v>296</v>
      </c>
      <c r="E24" s="148" t="s">
        <v>230</v>
      </c>
      <c r="F24" s="9">
        <v>35000000</v>
      </c>
      <c r="G24" s="9">
        <v>35000000</v>
      </c>
      <c r="H24" s="3">
        <v>43313</v>
      </c>
      <c r="I24" s="152">
        <v>43348</v>
      </c>
      <c r="J24" s="9">
        <v>6500000</v>
      </c>
      <c r="K24" s="152">
        <v>44560</v>
      </c>
      <c r="L24" s="289">
        <v>0</v>
      </c>
      <c r="M24" s="9">
        <f t="shared" ref="M24" si="1">J24-L24</f>
        <v>6500000</v>
      </c>
      <c r="N24" s="152">
        <v>44336</v>
      </c>
      <c r="O24" s="43"/>
      <c r="T24" s="124">
        <f>M24</f>
        <v>6500000</v>
      </c>
    </row>
    <row r="25" spans="1:20" ht="12">
      <c r="A25" s="43">
        <v>4924</v>
      </c>
      <c r="B25" s="43" t="s">
        <v>77</v>
      </c>
      <c r="C25" s="148" t="s">
        <v>164</v>
      </c>
      <c r="D25" s="148" t="s">
        <v>296</v>
      </c>
      <c r="E25" s="148" t="s">
        <v>165</v>
      </c>
      <c r="F25" s="9">
        <v>30000000</v>
      </c>
      <c r="G25" s="9">
        <v>30000000</v>
      </c>
      <c r="H25" s="3">
        <v>43336</v>
      </c>
      <c r="I25" s="152">
        <v>43371</v>
      </c>
      <c r="J25" s="83">
        <v>20000318.550000001</v>
      </c>
      <c r="K25" s="152">
        <v>44560</v>
      </c>
      <c r="L25" s="45">
        <v>0</v>
      </c>
      <c r="M25" s="83">
        <f t="shared" ref="M25" si="2">J25-L25</f>
        <v>20000318.550000001</v>
      </c>
      <c r="N25" s="152">
        <v>43543</v>
      </c>
      <c r="O25" s="43"/>
      <c r="T25" s="144">
        <f>M25</f>
        <v>20000318.550000001</v>
      </c>
    </row>
    <row r="26" spans="1:20" s="186" customFormat="1" ht="12">
      <c r="A26" s="13"/>
      <c r="B26" s="13"/>
      <c r="C26" s="13"/>
      <c r="D26" s="13"/>
      <c r="E26" s="13"/>
      <c r="F26" s="289"/>
      <c r="G26" s="124"/>
      <c r="H26" s="7"/>
      <c r="I26" s="184"/>
      <c r="J26" s="124"/>
      <c r="K26" s="184"/>
      <c r="L26" s="32"/>
      <c r="M26" s="124"/>
      <c r="N26" s="184"/>
    </row>
    <row r="27" spans="1:20" ht="12">
      <c r="A27" s="13"/>
      <c r="B27" s="13"/>
      <c r="C27" s="13"/>
      <c r="D27" s="13"/>
      <c r="E27" s="13"/>
      <c r="F27" s="289"/>
      <c r="G27" s="71"/>
      <c r="H27" s="3"/>
      <c r="I27" s="3"/>
      <c r="J27" s="77">
        <f>SUM(J23:J26)</f>
        <v>61500318.549999997</v>
      </c>
      <c r="K27" s="7"/>
      <c r="L27" s="77">
        <f>SUM(L23:L26)</f>
        <v>35000000</v>
      </c>
      <c r="M27" s="77">
        <f>SUM(M23:M26)</f>
        <v>26500318.550000001</v>
      </c>
      <c r="N27" s="152"/>
      <c r="T27" s="77">
        <f>SUM(T23:T26)</f>
        <v>26500318.550000001</v>
      </c>
    </row>
    <row r="28" spans="1:20" ht="12.6" thickBot="1">
      <c r="F28" s="185"/>
      <c r="G28" s="185"/>
      <c r="H28" s="185"/>
      <c r="I28" s="185"/>
      <c r="J28" s="185"/>
      <c r="K28" s="290"/>
      <c r="M28" s="193"/>
      <c r="N28" s="152"/>
    </row>
    <row r="29" spans="1:20" ht="12">
      <c r="A29" s="169" t="s">
        <v>60</v>
      </c>
      <c r="F29" s="185"/>
      <c r="G29" s="188"/>
      <c r="H29" s="152"/>
      <c r="I29" s="185"/>
      <c r="J29" s="185"/>
      <c r="K29" s="185"/>
      <c r="N29" s="152"/>
    </row>
    <row r="30" spans="1:20" ht="12">
      <c r="A30" s="43">
        <v>4940</v>
      </c>
      <c r="B30" s="43" t="s">
        <v>77</v>
      </c>
      <c r="C30" s="148" t="s">
        <v>277</v>
      </c>
      <c r="D30" s="43" t="s">
        <v>317</v>
      </c>
      <c r="E30" s="43" t="s">
        <v>232</v>
      </c>
      <c r="F30" s="392">
        <v>94065843.159999996</v>
      </c>
      <c r="G30" s="82">
        <v>94065843.159999996</v>
      </c>
      <c r="H30" s="293">
        <v>43417</v>
      </c>
      <c r="I30" s="152">
        <v>43452</v>
      </c>
      <c r="J30" s="393">
        <v>65843.159999996424</v>
      </c>
      <c r="K30" s="293">
        <v>44560</v>
      </c>
      <c r="L30" s="149">
        <v>0</v>
      </c>
      <c r="M30" s="251">
        <f>J30-L30</f>
        <v>65843.159999996424</v>
      </c>
      <c r="N30" s="152">
        <v>44166</v>
      </c>
      <c r="O30" s="43"/>
      <c r="P30" s="43"/>
      <c r="Q30" s="43"/>
      <c r="R30" s="43"/>
      <c r="T30" s="124">
        <f>M30</f>
        <v>65843.159999996424</v>
      </c>
    </row>
    <row r="31" spans="1:20" ht="12">
      <c r="N31" s="152"/>
    </row>
    <row r="32" spans="1:20" ht="12">
      <c r="I32" s="198"/>
      <c r="J32" s="346">
        <f>SUM(J30:J31)</f>
        <v>65843.159999996424</v>
      </c>
      <c r="K32" s="186"/>
      <c r="L32" s="77">
        <f>SUM(L30:L31)</f>
        <v>0</v>
      </c>
      <c r="M32" s="77">
        <f>SUM(M30:M31)</f>
        <v>65843.159999996424</v>
      </c>
      <c r="N32" s="152"/>
      <c r="T32" s="77">
        <f>SUM(T30:T31)</f>
        <v>65843.159999996424</v>
      </c>
    </row>
    <row r="33" spans="7:20" ht="12">
      <c r="I33" s="198"/>
      <c r="N33" s="152"/>
    </row>
    <row r="34" spans="7:20">
      <c r="G34" s="269"/>
    </row>
    <row r="35" spans="7:20" ht="12.6" thickBot="1">
      <c r="G35" s="269"/>
      <c r="J35" s="345">
        <f>J8+J19+J27+J32</f>
        <v>96566161.709999993</v>
      </c>
      <c r="M35" s="345">
        <f>M32+M27+M19+M8</f>
        <v>61566161.709999993</v>
      </c>
      <c r="O35" s="265"/>
      <c r="P35" s="265"/>
      <c r="Q35" s="265"/>
      <c r="R35" s="265"/>
      <c r="T35" s="417">
        <f>T8+T19+T27+T32</f>
        <v>61566161.709999993</v>
      </c>
    </row>
    <row r="36" spans="7:20" ht="12" thickTop="1">
      <c r="L36" s="193"/>
      <c r="M36" s="198"/>
    </row>
    <row r="37" spans="7:20">
      <c r="K37" s="200"/>
      <c r="L37" s="193"/>
    </row>
    <row r="38" spans="7:20">
      <c r="G38" s="200"/>
      <c r="K38" s="200"/>
      <c r="M38" s="193"/>
    </row>
    <row r="39" spans="7:20">
      <c r="G39" s="200"/>
    </row>
    <row r="40" spans="7:20">
      <c r="G40" s="200"/>
    </row>
    <row r="41" spans="7:20">
      <c r="G41" s="200"/>
    </row>
    <row r="47" spans="7:20">
      <c r="P47" s="200"/>
      <c r="Q47" s="200"/>
    </row>
    <row r="48" spans="7:20">
      <c r="P48" s="200"/>
      <c r="Q48" s="200"/>
    </row>
    <row r="49" spans="17:17">
      <c r="Q49" s="200"/>
    </row>
  </sheetData>
  <phoneticPr fontId="3" type="noConversion"/>
  <pageMargins left="0.7" right="0.7" top="0.75" bottom="0.75" header="0.3" footer="0.3"/>
  <pageSetup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47DDEA-84D0-4385-AFF5-DD1DD9E55B68}">
  <sheetPr codeName="Sheet26"/>
  <dimension ref="A1:T55"/>
  <sheetViews>
    <sheetView topLeftCell="A3" zoomScaleNormal="100" workbookViewId="0">
      <selection activeCell="M46" sqref="M46"/>
    </sheetView>
  </sheetViews>
  <sheetFormatPr defaultRowHeight="11.4"/>
  <cols>
    <col min="1" max="1" width="9.75" style="530" customWidth="1"/>
    <col min="2" max="2" width="9.25" customWidth="1"/>
    <col min="3" max="3" width="28.75" customWidth="1"/>
    <col min="4" max="4" width="32.625" customWidth="1"/>
    <col min="5" max="5" width="12.125" bestFit="1" customWidth="1"/>
    <col min="6" max="7" width="15.75" bestFit="1" customWidth="1"/>
    <col min="8" max="8" width="16.375" customWidth="1"/>
    <col min="9" max="9" width="10.375" customWidth="1"/>
    <col min="10" max="10" width="17.125" customWidth="1"/>
    <col min="11" max="11" width="10.375" customWidth="1"/>
    <col min="12" max="12" width="15.875" customWidth="1"/>
    <col min="13" max="13" width="18.625" bestFit="1" customWidth="1"/>
    <col min="14" max="14" width="11" bestFit="1" customWidth="1"/>
    <col min="15" max="15" width="10.875" customWidth="1"/>
    <col min="16" max="16" width="13.625" bestFit="1" customWidth="1"/>
    <col min="17" max="17" width="12.75" customWidth="1"/>
    <col min="18" max="19" width="3" customWidth="1"/>
    <col min="20" max="20" width="26.75" bestFit="1" customWidth="1"/>
  </cols>
  <sheetData>
    <row r="1" spans="1:20" ht="13.2">
      <c r="A1" s="529"/>
      <c r="B1" s="159" t="s">
        <v>261</v>
      </c>
      <c r="C1" s="160"/>
      <c r="D1" s="161"/>
      <c r="E1" s="163"/>
      <c r="F1" s="173"/>
      <c r="G1" s="173"/>
      <c r="H1" s="174"/>
      <c r="I1" s="174"/>
      <c r="J1" s="175"/>
      <c r="K1" s="174"/>
      <c r="L1" s="173"/>
      <c r="M1" s="174"/>
      <c r="N1" s="370"/>
      <c r="O1" s="370"/>
      <c r="P1" s="370"/>
      <c r="Q1" s="272"/>
      <c r="T1" s="341" t="s">
        <v>89</v>
      </c>
    </row>
    <row r="2" spans="1:20" ht="13.2">
      <c r="A2" s="153" t="s">
        <v>32</v>
      </c>
      <c r="B2" s="273" t="s">
        <v>37</v>
      </c>
      <c r="C2" s="274" t="s">
        <v>31</v>
      </c>
      <c r="D2" s="275" t="s">
        <v>49</v>
      </c>
      <c r="E2" s="275" t="s">
        <v>45</v>
      </c>
      <c r="F2" s="176" t="s">
        <v>84</v>
      </c>
      <c r="G2" s="176" t="s">
        <v>85</v>
      </c>
      <c r="H2" s="276" t="s">
        <v>96</v>
      </c>
      <c r="I2" s="276" t="s">
        <v>86</v>
      </c>
      <c r="J2" s="177" t="s">
        <v>87</v>
      </c>
      <c r="K2" s="276"/>
      <c r="L2" s="176" t="s">
        <v>88</v>
      </c>
      <c r="M2" s="277" t="s">
        <v>89</v>
      </c>
      <c r="N2" s="371" t="s">
        <v>22</v>
      </c>
      <c r="O2" s="373" t="s">
        <v>172</v>
      </c>
      <c r="P2" s="373" t="s">
        <v>252</v>
      </c>
      <c r="Q2" s="374" t="s">
        <v>254</v>
      </c>
      <c r="T2" s="342" t="s">
        <v>90</v>
      </c>
    </row>
    <row r="3" spans="1:20" ht="13.2">
      <c r="A3" s="153" t="s">
        <v>48</v>
      </c>
      <c r="B3" s="279"/>
      <c r="C3" s="274"/>
      <c r="D3" s="275"/>
      <c r="E3" s="275"/>
      <c r="F3" s="176" t="s">
        <v>55</v>
      </c>
      <c r="G3" s="176" t="s">
        <v>55</v>
      </c>
      <c r="H3" s="276" t="s">
        <v>9</v>
      </c>
      <c r="I3" s="276" t="s">
        <v>18</v>
      </c>
      <c r="J3" s="177" t="s">
        <v>55</v>
      </c>
      <c r="K3" s="276" t="s">
        <v>18</v>
      </c>
      <c r="L3" s="176" t="s">
        <v>55</v>
      </c>
      <c r="M3" s="277" t="s">
        <v>90</v>
      </c>
      <c r="N3" s="371" t="s">
        <v>5</v>
      </c>
      <c r="O3" s="373" t="s">
        <v>171</v>
      </c>
      <c r="P3" s="373" t="s">
        <v>253</v>
      </c>
      <c r="Q3" s="374" t="s">
        <v>255</v>
      </c>
      <c r="T3" s="342" t="s">
        <v>371</v>
      </c>
    </row>
    <row r="4" spans="1:20" ht="13.8" thickBot="1">
      <c r="A4" s="154" t="s">
        <v>17</v>
      </c>
      <c r="B4" s="155"/>
      <c r="C4" s="156"/>
      <c r="D4" s="157"/>
      <c r="E4" s="157"/>
      <c r="F4" s="178"/>
      <c r="G4" s="178"/>
      <c r="H4" s="179"/>
      <c r="I4" s="179"/>
      <c r="J4" s="180"/>
      <c r="K4" s="179"/>
      <c r="L4" s="178"/>
      <c r="M4" s="178"/>
      <c r="N4" s="372" t="s">
        <v>9</v>
      </c>
      <c r="O4" s="372"/>
      <c r="P4" s="372"/>
      <c r="Q4" s="375" t="s">
        <v>9</v>
      </c>
      <c r="T4" s="343" t="s">
        <v>440</v>
      </c>
    </row>
    <row r="5" spans="1:20">
      <c r="A5" s="31" t="s">
        <v>259</v>
      </c>
    </row>
    <row r="6" spans="1:20" ht="12">
      <c r="A6" s="13" t="s">
        <v>374</v>
      </c>
      <c r="B6" s="13" t="s">
        <v>391</v>
      </c>
      <c r="C6" s="13" t="s">
        <v>76</v>
      </c>
      <c r="D6" s="13" t="s">
        <v>332</v>
      </c>
      <c r="E6" s="13" t="s">
        <v>78</v>
      </c>
      <c r="F6" s="289">
        <v>50000000</v>
      </c>
      <c r="G6" s="289">
        <f>F6</f>
        <v>50000000</v>
      </c>
      <c r="H6" s="3">
        <v>43831</v>
      </c>
      <c r="I6" s="3">
        <v>43838</v>
      </c>
      <c r="J6" s="289">
        <v>50000000</v>
      </c>
      <c r="K6" s="3">
        <v>44925</v>
      </c>
      <c r="L6" s="289">
        <v>50000000</v>
      </c>
      <c r="M6" s="289">
        <f t="shared" ref="M6:M13" si="0">J6-L6</f>
        <v>0</v>
      </c>
      <c r="N6" s="3">
        <v>44345</v>
      </c>
      <c r="O6" s="13">
        <v>3</v>
      </c>
      <c r="P6" s="13">
        <v>300</v>
      </c>
      <c r="Q6" s="11">
        <v>43818</v>
      </c>
      <c r="R6" s="460"/>
      <c r="T6" s="437">
        <f>M6</f>
        <v>0</v>
      </c>
    </row>
    <row r="7" spans="1:20" s="186" customFormat="1" ht="12">
      <c r="A7" s="5" t="s">
        <v>375</v>
      </c>
      <c r="B7" s="5" t="s">
        <v>77</v>
      </c>
      <c r="C7" s="5" t="s">
        <v>76</v>
      </c>
      <c r="D7" s="5" t="s">
        <v>292</v>
      </c>
      <c r="E7" s="5" t="s">
        <v>79</v>
      </c>
      <c r="F7" s="349">
        <v>29000000</v>
      </c>
      <c r="G7" s="349">
        <f>F7</f>
        <v>29000000</v>
      </c>
      <c r="H7" s="7">
        <v>43831</v>
      </c>
      <c r="I7" s="7">
        <v>43838</v>
      </c>
      <c r="J7" s="349">
        <v>29000000</v>
      </c>
      <c r="K7" s="7">
        <v>44925</v>
      </c>
      <c r="L7" s="349">
        <v>0</v>
      </c>
      <c r="M7" s="349">
        <f t="shared" si="0"/>
        <v>29000000</v>
      </c>
      <c r="N7" s="7"/>
      <c r="O7" s="5">
        <v>3</v>
      </c>
      <c r="P7" s="5">
        <v>164</v>
      </c>
      <c r="Q7" s="6">
        <v>43818</v>
      </c>
      <c r="R7" s="427"/>
      <c r="T7" s="62">
        <f t="shared" ref="T7:T14" si="1">M7</f>
        <v>29000000</v>
      </c>
    </row>
    <row r="8" spans="1:20" ht="12">
      <c r="A8" s="31"/>
      <c r="H8" s="3"/>
      <c r="I8" s="3"/>
      <c r="K8" s="200"/>
      <c r="M8" s="349"/>
      <c r="P8" s="13"/>
      <c r="Q8" s="13"/>
      <c r="T8" s="62"/>
    </row>
    <row r="9" spans="1:20" ht="12.75" customHeight="1">
      <c r="A9" s="31" t="s">
        <v>149</v>
      </c>
      <c r="H9" s="3"/>
      <c r="I9" s="3"/>
      <c r="K9" s="200"/>
      <c r="M9" s="349"/>
      <c r="P9" s="13"/>
      <c r="Q9" s="13"/>
      <c r="T9" s="62"/>
    </row>
    <row r="10" spans="1:20" s="186" customFormat="1" ht="12">
      <c r="A10" s="5" t="s">
        <v>288</v>
      </c>
      <c r="B10" s="5" t="s">
        <v>77</v>
      </c>
      <c r="C10" s="5" t="s">
        <v>98</v>
      </c>
      <c r="D10" s="5" t="s">
        <v>166</v>
      </c>
      <c r="E10" s="5" t="s">
        <v>163</v>
      </c>
      <c r="F10" s="349">
        <v>50000000</v>
      </c>
      <c r="G10" s="349">
        <f t="shared" ref="G10:G12" si="2">F10</f>
        <v>50000000</v>
      </c>
      <c r="H10" s="7">
        <v>43831</v>
      </c>
      <c r="I10" s="7">
        <v>43838</v>
      </c>
      <c r="J10" s="349">
        <v>50000000</v>
      </c>
      <c r="K10" s="7">
        <v>44925</v>
      </c>
      <c r="L10" s="349">
        <v>0</v>
      </c>
      <c r="M10" s="349">
        <f t="shared" si="0"/>
        <v>50000000</v>
      </c>
      <c r="N10" s="7"/>
      <c r="O10" s="5">
        <v>3</v>
      </c>
      <c r="P10" s="5">
        <v>390</v>
      </c>
      <c r="Q10" s="6">
        <v>43466</v>
      </c>
      <c r="R10" s="427"/>
      <c r="T10" s="62">
        <f t="shared" si="1"/>
        <v>50000000</v>
      </c>
    </row>
    <row r="11" spans="1:20" s="186" customFormat="1" ht="12">
      <c r="A11" s="5" t="s">
        <v>289</v>
      </c>
      <c r="B11" s="5" t="s">
        <v>77</v>
      </c>
      <c r="C11" s="5" t="s">
        <v>276</v>
      </c>
      <c r="D11" s="5" t="s">
        <v>293</v>
      </c>
      <c r="E11" s="5" t="s">
        <v>79</v>
      </c>
      <c r="F11" s="349">
        <v>61260326</v>
      </c>
      <c r="G11" s="349">
        <f t="shared" si="2"/>
        <v>61260326</v>
      </c>
      <c r="H11" s="7">
        <v>43831</v>
      </c>
      <c r="I11" s="7">
        <v>43838</v>
      </c>
      <c r="J11" s="349">
        <f>G11</f>
        <v>61260326</v>
      </c>
      <c r="K11" s="7">
        <v>44925</v>
      </c>
      <c r="L11" s="349">
        <v>0</v>
      </c>
      <c r="M11" s="349">
        <f t="shared" si="0"/>
        <v>61260326</v>
      </c>
      <c r="N11" s="7"/>
      <c r="O11" s="5">
        <v>2</v>
      </c>
      <c r="P11" s="5">
        <v>368</v>
      </c>
      <c r="Q11" s="6">
        <v>43466</v>
      </c>
      <c r="R11" s="427"/>
      <c r="T11" s="62">
        <f t="shared" si="1"/>
        <v>61260326</v>
      </c>
    </row>
    <row r="12" spans="1:20" s="186" customFormat="1" ht="12">
      <c r="A12" s="5" t="s">
        <v>290</v>
      </c>
      <c r="B12" s="5" t="s">
        <v>77</v>
      </c>
      <c r="C12" s="5" t="s">
        <v>97</v>
      </c>
      <c r="D12" s="5" t="s">
        <v>294</v>
      </c>
      <c r="E12" s="5" t="s">
        <v>95</v>
      </c>
      <c r="F12" s="349">
        <v>30000000</v>
      </c>
      <c r="G12" s="349">
        <f t="shared" si="2"/>
        <v>30000000</v>
      </c>
      <c r="H12" s="7">
        <v>43831</v>
      </c>
      <c r="I12" s="7">
        <v>43838</v>
      </c>
      <c r="J12" s="349">
        <v>30000000</v>
      </c>
      <c r="K12" s="7">
        <v>44925</v>
      </c>
      <c r="L12" s="349">
        <v>0</v>
      </c>
      <c r="M12" s="349">
        <f t="shared" si="0"/>
        <v>30000000</v>
      </c>
      <c r="N12" s="7"/>
      <c r="O12" s="5">
        <v>2</v>
      </c>
      <c r="P12" s="5">
        <v>184</v>
      </c>
      <c r="Q12" s="6">
        <v>43466</v>
      </c>
      <c r="R12" s="427"/>
      <c r="T12" s="62">
        <f t="shared" si="1"/>
        <v>30000000</v>
      </c>
    </row>
    <row r="13" spans="1:20" ht="12">
      <c r="A13" s="13" t="s">
        <v>321</v>
      </c>
      <c r="B13" s="13" t="s">
        <v>391</v>
      </c>
      <c r="C13" s="13" t="s">
        <v>236</v>
      </c>
      <c r="D13" s="13" t="s">
        <v>281</v>
      </c>
      <c r="E13" s="13" t="s">
        <v>322</v>
      </c>
      <c r="F13" s="289">
        <v>38000000</v>
      </c>
      <c r="G13" s="289">
        <f>F13</f>
        <v>38000000</v>
      </c>
      <c r="H13" s="3">
        <v>43834</v>
      </c>
      <c r="I13" s="3">
        <v>43841</v>
      </c>
      <c r="J13" s="289">
        <v>540000</v>
      </c>
      <c r="K13" s="3">
        <v>44925</v>
      </c>
      <c r="L13" s="289">
        <v>0</v>
      </c>
      <c r="M13" s="289">
        <f t="shared" si="0"/>
        <v>540000</v>
      </c>
      <c r="N13" s="3">
        <v>44315</v>
      </c>
      <c r="O13" s="13">
        <v>3</v>
      </c>
      <c r="P13" s="13">
        <v>240</v>
      </c>
      <c r="Q13" s="11">
        <v>43813</v>
      </c>
      <c r="R13" s="460"/>
      <c r="T13" s="424">
        <f t="shared" si="1"/>
        <v>540000</v>
      </c>
    </row>
    <row r="14" spans="1:20" s="186" customFormat="1" ht="12">
      <c r="A14" s="5" t="s">
        <v>376</v>
      </c>
      <c r="B14" s="5" t="s">
        <v>77</v>
      </c>
      <c r="C14" s="5" t="s">
        <v>144</v>
      </c>
      <c r="D14" s="5" t="s">
        <v>377</v>
      </c>
      <c r="E14" s="5" t="s">
        <v>82</v>
      </c>
      <c r="F14" s="349">
        <v>12000000</v>
      </c>
      <c r="G14" s="428">
        <v>11115876.799999714</v>
      </c>
      <c r="H14" s="7">
        <v>43839</v>
      </c>
      <c r="I14" s="7">
        <v>43847</v>
      </c>
      <c r="J14" s="428">
        <f>G14</f>
        <v>11115876.799999714</v>
      </c>
      <c r="K14" s="7">
        <v>44925</v>
      </c>
      <c r="L14" s="349">
        <v>0</v>
      </c>
      <c r="M14" s="428">
        <f>J14-L14</f>
        <v>11115876.799999714</v>
      </c>
      <c r="N14" s="7"/>
      <c r="O14" s="5">
        <v>3</v>
      </c>
      <c r="P14" s="5">
        <v>64</v>
      </c>
      <c r="Q14" s="6">
        <v>43818</v>
      </c>
      <c r="R14" s="427"/>
      <c r="T14" s="436">
        <f t="shared" si="1"/>
        <v>11115876.799999714</v>
      </c>
    </row>
    <row r="16" spans="1:20" ht="12">
      <c r="F16" s="194">
        <f>SUM(F6:F14)</f>
        <v>270260326</v>
      </c>
      <c r="G16" s="329">
        <f>SUM(G6:G14)</f>
        <v>269376202.79999971</v>
      </c>
      <c r="H16" s="133"/>
      <c r="I16" s="133"/>
      <c r="J16" s="329">
        <f>SUM(J6:J14)</f>
        <v>231916202.79999971</v>
      </c>
      <c r="K16" s="133"/>
      <c r="L16" s="194">
        <f>SUM(L6:L14)</f>
        <v>50000000</v>
      </c>
      <c r="M16" s="329">
        <f>SUM(M6:M14)</f>
        <v>181916202.79999971</v>
      </c>
      <c r="T16" s="329">
        <f>SUM(T6:T14)</f>
        <v>181916202.79999971</v>
      </c>
    </row>
    <row r="17" spans="1:20" ht="12" thickBot="1">
      <c r="L17" s="463"/>
    </row>
    <row r="18" spans="1:20" ht="13.2">
      <c r="A18" s="529"/>
      <c r="B18" s="159" t="s">
        <v>262</v>
      </c>
      <c r="C18" s="131"/>
      <c r="D18" s="131"/>
      <c r="E18" s="131"/>
      <c r="F18" s="181"/>
      <c r="G18" s="181"/>
      <c r="H18" s="181"/>
      <c r="I18" s="181"/>
      <c r="J18" s="181"/>
      <c r="K18" s="181"/>
      <c r="L18" s="181"/>
      <c r="M18" s="181"/>
      <c r="N18" s="281"/>
    </row>
    <row r="19" spans="1:20" ht="13.2">
      <c r="A19" s="153" t="s">
        <v>32</v>
      </c>
      <c r="B19" s="273" t="s">
        <v>37</v>
      </c>
      <c r="C19" s="274" t="s">
        <v>31</v>
      </c>
      <c r="D19" s="282" t="s">
        <v>49</v>
      </c>
      <c r="E19" s="282" t="s">
        <v>45</v>
      </c>
      <c r="F19" s="176" t="s">
        <v>84</v>
      </c>
      <c r="G19" s="176" t="s">
        <v>54</v>
      </c>
      <c r="H19" s="276"/>
      <c r="I19" s="276" t="s">
        <v>34</v>
      </c>
      <c r="J19" s="177" t="s">
        <v>87</v>
      </c>
      <c r="K19" s="276"/>
      <c r="L19" s="176" t="s">
        <v>92</v>
      </c>
      <c r="M19" s="277" t="s">
        <v>89</v>
      </c>
      <c r="N19" s="278" t="s">
        <v>22</v>
      </c>
    </row>
    <row r="20" spans="1:20" ht="13.2">
      <c r="A20" s="153" t="s">
        <v>48</v>
      </c>
      <c r="B20" s="279"/>
      <c r="C20" s="274"/>
      <c r="D20" s="282"/>
      <c r="E20" s="282"/>
      <c r="F20" s="176" t="s">
        <v>55</v>
      </c>
      <c r="G20" s="176" t="s">
        <v>55</v>
      </c>
      <c r="H20" s="276" t="s">
        <v>9</v>
      </c>
      <c r="I20" s="276" t="s">
        <v>18</v>
      </c>
      <c r="J20" s="177" t="s">
        <v>55</v>
      </c>
      <c r="K20" s="276" t="s">
        <v>18</v>
      </c>
      <c r="L20" s="176" t="s">
        <v>55</v>
      </c>
      <c r="M20" s="277" t="s">
        <v>90</v>
      </c>
      <c r="N20" s="278" t="s">
        <v>5</v>
      </c>
    </row>
    <row r="21" spans="1:20" ht="13.8" thickBot="1">
      <c r="A21" s="154" t="s">
        <v>17</v>
      </c>
      <c r="B21" s="155"/>
      <c r="C21" s="156"/>
      <c r="D21" s="158"/>
      <c r="E21" s="158"/>
      <c r="F21" s="178"/>
      <c r="G21" s="178"/>
      <c r="H21" s="179"/>
      <c r="I21" s="179"/>
      <c r="J21" s="182"/>
      <c r="K21" s="179"/>
      <c r="L21" s="178"/>
      <c r="M21" s="183" t="s">
        <v>93</v>
      </c>
      <c r="N21" s="280" t="s">
        <v>9</v>
      </c>
    </row>
    <row r="22" spans="1:20">
      <c r="A22" s="531" t="s">
        <v>56</v>
      </c>
    </row>
    <row r="23" spans="1:20">
      <c r="A23" s="5"/>
      <c r="H23" s="200"/>
      <c r="L23" s="198"/>
    </row>
    <row r="24" spans="1:20" ht="12">
      <c r="A24" s="13">
        <v>5058</v>
      </c>
      <c r="B24" s="43" t="s">
        <v>77</v>
      </c>
      <c r="C24" s="148" t="s">
        <v>76</v>
      </c>
      <c r="D24" s="148" t="s">
        <v>248</v>
      </c>
      <c r="E24" s="148" t="s">
        <v>152</v>
      </c>
      <c r="F24" s="9">
        <v>387458955</v>
      </c>
      <c r="G24" s="9">
        <v>387458955</v>
      </c>
      <c r="H24" s="3">
        <v>43678</v>
      </c>
      <c r="I24" s="152">
        <v>43713</v>
      </c>
      <c r="J24" s="9">
        <v>387458955</v>
      </c>
      <c r="K24" s="152">
        <v>44925</v>
      </c>
      <c r="L24" s="45">
        <f>143868101.05+170840815</f>
        <v>314708916.05000001</v>
      </c>
      <c r="M24" s="83">
        <f t="shared" ref="M24:M25" si="3">J24-L24</f>
        <v>72750038.949999988</v>
      </c>
      <c r="N24" s="152">
        <v>44359</v>
      </c>
      <c r="O24" s="43" t="s">
        <v>666</v>
      </c>
      <c r="P24" s="545" t="s">
        <v>756</v>
      </c>
      <c r="T24" s="437">
        <f>M24</f>
        <v>72750038.949999988</v>
      </c>
    </row>
    <row r="25" spans="1:20" ht="12">
      <c r="A25" s="13">
        <v>5063</v>
      </c>
      <c r="B25" s="43" t="s">
        <v>77</v>
      </c>
      <c r="C25" s="148" t="s">
        <v>318</v>
      </c>
      <c r="D25" s="148" t="s">
        <v>300</v>
      </c>
      <c r="E25" s="148" t="s">
        <v>301</v>
      </c>
      <c r="F25" s="9">
        <v>54000000</v>
      </c>
      <c r="G25" s="9">
        <v>54000000</v>
      </c>
      <c r="H25" s="3">
        <v>43680</v>
      </c>
      <c r="I25" s="152">
        <v>43715</v>
      </c>
      <c r="J25" s="9">
        <v>20597955.649999999</v>
      </c>
      <c r="K25" s="152">
        <v>44925</v>
      </c>
      <c r="L25" s="27">
        <v>0</v>
      </c>
      <c r="M25" s="9">
        <f t="shared" si="3"/>
        <v>20597955.649999999</v>
      </c>
      <c r="N25" s="152">
        <v>43958</v>
      </c>
      <c r="O25" s="43"/>
      <c r="T25" s="437">
        <f t="shared" ref="T25:T30" si="4">M25</f>
        <v>20597955.649999999</v>
      </c>
    </row>
    <row r="26" spans="1:20" ht="12">
      <c r="A26" s="13">
        <v>5064</v>
      </c>
      <c r="B26" s="43" t="s">
        <v>77</v>
      </c>
      <c r="C26" s="148" t="s">
        <v>150</v>
      </c>
      <c r="D26" s="148" t="s">
        <v>392</v>
      </c>
      <c r="E26" s="148" t="s">
        <v>152</v>
      </c>
      <c r="F26" s="9">
        <v>116214444</v>
      </c>
      <c r="G26" s="9">
        <v>116214444</v>
      </c>
      <c r="H26" s="3">
        <v>43680</v>
      </c>
      <c r="I26" s="152">
        <v>43715</v>
      </c>
      <c r="J26" s="9">
        <v>628.40000000596046</v>
      </c>
      <c r="K26" s="152">
        <v>44925</v>
      </c>
      <c r="L26" s="350">
        <v>0</v>
      </c>
      <c r="M26" s="83">
        <f>J26-L26</f>
        <v>628.40000000596046</v>
      </c>
      <c r="N26" s="152">
        <v>43907</v>
      </c>
      <c r="O26" s="43"/>
      <c r="Q26" s="366"/>
      <c r="T26" s="438">
        <f t="shared" si="4"/>
        <v>628.40000000596046</v>
      </c>
    </row>
    <row r="27" spans="1:20" ht="12">
      <c r="A27" s="13">
        <v>5065</v>
      </c>
      <c r="B27" s="43" t="s">
        <v>77</v>
      </c>
      <c r="C27" s="148" t="s">
        <v>316</v>
      </c>
      <c r="D27" s="148" t="s">
        <v>302</v>
      </c>
      <c r="E27" s="148" t="s">
        <v>303</v>
      </c>
      <c r="F27" s="9">
        <v>61000000</v>
      </c>
      <c r="G27" s="9">
        <v>61000000</v>
      </c>
      <c r="H27" s="3">
        <v>43680</v>
      </c>
      <c r="I27" s="152">
        <v>43715</v>
      </c>
      <c r="J27" s="9">
        <v>61000000</v>
      </c>
      <c r="K27" s="152">
        <v>44925</v>
      </c>
      <c r="L27" s="27">
        <v>0</v>
      </c>
      <c r="M27" s="9">
        <f>J27-L27</f>
        <v>61000000</v>
      </c>
      <c r="N27" s="152">
        <v>43847</v>
      </c>
      <c r="O27" s="259"/>
      <c r="T27" s="437">
        <f t="shared" si="4"/>
        <v>61000000</v>
      </c>
    </row>
    <row r="28" spans="1:20" ht="12">
      <c r="A28" s="13">
        <v>5066</v>
      </c>
      <c r="B28" s="43" t="s">
        <v>77</v>
      </c>
      <c r="C28" s="148" t="s">
        <v>315</v>
      </c>
      <c r="D28" s="148" t="s">
        <v>249</v>
      </c>
      <c r="E28" s="148" t="s">
        <v>304</v>
      </c>
      <c r="F28" s="9">
        <v>10000000</v>
      </c>
      <c r="G28" s="9">
        <v>10000000</v>
      </c>
      <c r="H28" s="3">
        <v>43680</v>
      </c>
      <c r="I28" s="152">
        <v>43715</v>
      </c>
      <c r="J28" s="9">
        <v>10000000</v>
      </c>
      <c r="K28" s="152">
        <v>44925</v>
      </c>
      <c r="L28" s="27">
        <v>0</v>
      </c>
      <c r="M28" s="9">
        <f t="shared" ref="M28:M29" si="5">J28-L28</f>
        <v>10000000</v>
      </c>
      <c r="N28" s="152">
        <v>43847</v>
      </c>
      <c r="T28" s="437">
        <f t="shared" si="4"/>
        <v>10000000</v>
      </c>
    </row>
    <row r="29" spans="1:20" ht="12">
      <c r="A29" s="13">
        <v>5067</v>
      </c>
      <c r="B29" s="43" t="s">
        <v>77</v>
      </c>
      <c r="C29" s="148" t="s">
        <v>308</v>
      </c>
      <c r="D29" s="148" t="s">
        <v>305</v>
      </c>
      <c r="E29" s="148" t="s">
        <v>306</v>
      </c>
      <c r="F29" s="9">
        <v>20000000</v>
      </c>
      <c r="G29" s="9">
        <v>20000000</v>
      </c>
      <c r="H29" s="3">
        <v>43680</v>
      </c>
      <c r="I29" s="152">
        <v>43715</v>
      </c>
      <c r="J29" s="9">
        <v>20000000</v>
      </c>
      <c r="K29" s="152">
        <v>44925</v>
      </c>
      <c r="L29" s="27">
        <v>0</v>
      </c>
      <c r="M29" s="9">
        <f t="shared" si="5"/>
        <v>20000000</v>
      </c>
      <c r="N29" s="152">
        <v>43847</v>
      </c>
      <c r="T29" s="437">
        <f t="shared" si="4"/>
        <v>20000000</v>
      </c>
    </row>
    <row r="30" spans="1:20" ht="12">
      <c r="A30" s="13">
        <v>5098</v>
      </c>
      <c r="B30" s="43" t="s">
        <v>77</v>
      </c>
      <c r="C30" s="148" t="s">
        <v>76</v>
      </c>
      <c r="D30" s="148" t="s">
        <v>248</v>
      </c>
      <c r="E30" s="148" t="s">
        <v>152</v>
      </c>
      <c r="F30" s="83">
        <v>128717758.63</v>
      </c>
      <c r="G30" s="83">
        <v>128717758.63</v>
      </c>
      <c r="H30" s="3">
        <v>43783</v>
      </c>
      <c r="I30" s="152">
        <v>43818</v>
      </c>
      <c r="J30" s="83">
        <v>128717758.63</v>
      </c>
      <c r="K30" s="152">
        <v>44925</v>
      </c>
      <c r="L30" s="27">
        <v>0</v>
      </c>
      <c r="M30" s="83">
        <f>J30-L30</f>
        <v>128717758.63</v>
      </c>
      <c r="N30" s="152">
        <v>43847</v>
      </c>
      <c r="T30" s="437">
        <f t="shared" si="4"/>
        <v>128717758.63</v>
      </c>
    </row>
    <row r="31" spans="1:20" ht="12">
      <c r="A31" s="13"/>
      <c r="B31" s="13"/>
      <c r="C31" s="13"/>
      <c r="D31" s="13"/>
      <c r="E31" s="13"/>
      <c r="F31" s="289"/>
      <c r="G31" s="185"/>
      <c r="H31" s="185"/>
      <c r="I31" s="185"/>
      <c r="J31" s="185"/>
      <c r="K31" s="185"/>
      <c r="M31" s="204"/>
      <c r="N31" s="152"/>
    </row>
    <row r="32" spans="1:20" ht="12">
      <c r="F32" s="185"/>
      <c r="G32" s="185"/>
      <c r="H32" s="185"/>
      <c r="I32" s="185"/>
      <c r="J32" s="329">
        <f>SUM(J24:J30)</f>
        <v>627775297.67999995</v>
      </c>
      <c r="K32" s="416"/>
      <c r="L32" s="329">
        <f>SUM(L24:L30)</f>
        <v>314708916.05000001</v>
      </c>
      <c r="M32" s="329">
        <f>SUM(M24:M30)</f>
        <v>313066381.63</v>
      </c>
      <c r="N32" s="152"/>
      <c r="T32" s="329">
        <f>SUM(T24:T30)</f>
        <v>313066381.63</v>
      </c>
    </row>
    <row r="33" spans="1:20" ht="12.6" thickBot="1">
      <c r="F33" s="185"/>
      <c r="G33" s="442"/>
      <c r="H33" s="185"/>
      <c r="I33" s="185"/>
      <c r="J33" s="185"/>
      <c r="K33" s="185"/>
      <c r="L33" s="193"/>
      <c r="M33" s="198"/>
      <c r="N33" s="152"/>
    </row>
    <row r="34" spans="1:20" ht="12">
      <c r="A34" s="532" t="s">
        <v>94</v>
      </c>
      <c r="F34" s="185"/>
      <c r="G34" s="188"/>
      <c r="H34" s="152"/>
      <c r="I34" s="185"/>
      <c r="J34" s="185"/>
      <c r="K34" s="290"/>
      <c r="L34" s="366"/>
      <c r="N34" s="152"/>
    </row>
    <row r="35" spans="1:20" s="429" customFormat="1" ht="12">
      <c r="A35" s="501">
        <v>5071</v>
      </c>
      <c r="B35" s="430" t="s">
        <v>77</v>
      </c>
      <c r="C35" s="431" t="s">
        <v>268</v>
      </c>
      <c r="D35" s="431" t="s">
        <v>94</v>
      </c>
      <c r="E35" s="431" t="s">
        <v>217</v>
      </c>
      <c r="F35" s="432">
        <v>48000000</v>
      </c>
      <c r="G35" s="432">
        <v>48000000</v>
      </c>
      <c r="H35" s="433">
        <v>43698</v>
      </c>
      <c r="I35" s="434">
        <v>43733</v>
      </c>
      <c r="J35" s="432">
        <v>18910000</v>
      </c>
      <c r="K35" s="434">
        <v>44925</v>
      </c>
      <c r="L35" s="507">
        <v>18910000</v>
      </c>
      <c r="M35" s="432">
        <f t="shared" ref="M35:M38" si="6">J35-L35</f>
        <v>0</v>
      </c>
      <c r="N35" s="434">
        <v>44247</v>
      </c>
      <c r="O35" s="430" t="s">
        <v>425</v>
      </c>
      <c r="P35" s="43"/>
      <c r="T35" s="435">
        <f>M35</f>
        <v>0</v>
      </c>
    </row>
    <row r="36" spans="1:20" ht="12">
      <c r="A36" s="13">
        <v>5079</v>
      </c>
      <c r="B36" s="43" t="s">
        <v>77</v>
      </c>
      <c r="C36" s="148" t="s">
        <v>234</v>
      </c>
      <c r="D36" s="148" t="s">
        <v>94</v>
      </c>
      <c r="E36" s="148" t="s">
        <v>235</v>
      </c>
      <c r="F36" s="9">
        <v>52000000</v>
      </c>
      <c r="G36" s="9">
        <v>52000000</v>
      </c>
      <c r="H36" s="3">
        <v>43699</v>
      </c>
      <c r="I36" s="152">
        <v>43734</v>
      </c>
      <c r="J36" s="9">
        <v>52000000</v>
      </c>
      <c r="K36" s="152">
        <v>44925</v>
      </c>
      <c r="L36" s="354">
        <v>52000000</v>
      </c>
      <c r="M36" s="490">
        <f t="shared" si="6"/>
        <v>0</v>
      </c>
      <c r="N36" s="491">
        <v>44323</v>
      </c>
      <c r="O36" s="210" t="s">
        <v>743</v>
      </c>
      <c r="T36" s="424">
        <f>M36</f>
        <v>0</v>
      </c>
    </row>
    <row r="37" spans="1:20" ht="12">
      <c r="A37" s="13">
        <v>5080</v>
      </c>
      <c r="B37" s="43" t="s">
        <v>77</v>
      </c>
      <c r="C37" s="148" t="s">
        <v>297</v>
      </c>
      <c r="D37" s="148" t="s">
        <v>94</v>
      </c>
      <c r="E37" s="148" t="s">
        <v>222</v>
      </c>
      <c r="F37" s="9">
        <v>35000000</v>
      </c>
      <c r="G37" s="9">
        <v>35000000</v>
      </c>
      <c r="H37" s="3">
        <v>43699</v>
      </c>
      <c r="I37" s="152">
        <v>43734</v>
      </c>
      <c r="J37" s="9">
        <v>35000000</v>
      </c>
      <c r="K37" s="152">
        <v>44925</v>
      </c>
      <c r="L37" s="289">
        <v>0</v>
      </c>
      <c r="M37" s="9">
        <f t="shared" si="6"/>
        <v>35000000</v>
      </c>
      <c r="N37" s="152">
        <v>43845</v>
      </c>
      <c r="O37" s="200"/>
      <c r="T37" s="424">
        <f>M37</f>
        <v>35000000</v>
      </c>
    </row>
    <row r="38" spans="1:20" ht="12">
      <c r="A38" s="13">
        <v>5081</v>
      </c>
      <c r="B38" s="43" t="s">
        <v>77</v>
      </c>
      <c r="C38" s="148" t="s">
        <v>158</v>
      </c>
      <c r="D38" s="148" t="s">
        <v>94</v>
      </c>
      <c r="E38" s="148" t="s">
        <v>275</v>
      </c>
      <c r="F38" s="9">
        <v>15000000</v>
      </c>
      <c r="G38" s="9">
        <v>15000000</v>
      </c>
      <c r="H38" s="3">
        <v>43699</v>
      </c>
      <c r="I38" s="152">
        <v>43734</v>
      </c>
      <c r="J38" s="9">
        <v>15000000</v>
      </c>
      <c r="K38" s="152">
        <v>44925</v>
      </c>
      <c r="L38" s="289">
        <v>0</v>
      </c>
      <c r="M38" s="9">
        <f t="shared" si="6"/>
        <v>15000000</v>
      </c>
      <c r="N38" s="152">
        <v>44342</v>
      </c>
      <c r="O38" s="210"/>
      <c r="T38" s="424">
        <f>M38</f>
        <v>15000000</v>
      </c>
    </row>
    <row r="39" spans="1:20" ht="12">
      <c r="A39" s="13">
        <v>5091</v>
      </c>
      <c r="B39" s="43" t="s">
        <v>77</v>
      </c>
      <c r="C39" s="148" t="s">
        <v>236</v>
      </c>
      <c r="D39" s="148" t="s">
        <v>94</v>
      </c>
      <c r="E39" s="148" t="s">
        <v>80</v>
      </c>
      <c r="F39" s="9">
        <v>50000000</v>
      </c>
      <c r="G39" s="9">
        <v>50000000</v>
      </c>
      <c r="H39" s="3">
        <v>43754</v>
      </c>
      <c r="I39" s="152">
        <v>43789</v>
      </c>
      <c r="J39" s="9">
        <v>8500000</v>
      </c>
      <c r="K39" s="152">
        <v>44925</v>
      </c>
      <c r="L39" s="289">
        <v>0</v>
      </c>
      <c r="M39" s="9">
        <f t="shared" ref="M39:M41" si="7">J39-L39</f>
        <v>8500000</v>
      </c>
      <c r="N39" s="152">
        <v>44315</v>
      </c>
      <c r="O39" s="210"/>
      <c r="T39" s="424">
        <f t="shared" ref="T39:T41" si="8">M39</f>
        <v>8500000</v>
      </c>
    </row>
    <row r="40" spans="1:20" ht="12">
      <c r="A40" s="13">
        <v>5093</v>
      </c>
      <c r="B40" s="43" t="s">
        <v>77</v>
      </c>
      <c r="C40" s="148" t="s">
        <v>273</v>
      </c>
      <c r="D40" s="148" t="s">
        <v>94</v>
      </c>
      <c r="E40" s="148" t="s">
        <v>274</v>
      </c>
      <c r="F40" s="9">
        <v>45000000</v>
      </c>
      <c r="G40" s="9">
        <v>45000000</v>
      </c>
      <c r="H40" s="3">
        <v>43755</v>
      </c>
      <c r="I40" s="152">
        <v>43790</v>
      </c>
      <c r="J40" s="9">
        <v>45000000</v>
      </c>
      <c r="K40" s="152">
        <v>44925</v>
      </c>
      <c r="L40" s="289">
        <v>0</v>
      </c>
      <c r="M40" s="9">
        <f t="shared" si="7"/>
        <v>45000000</v>
      </c>
      <c r="N40" s="152">
        <v>43981</v>
      </c>
      <c r="O40" s="210"/>
      <c r="T40" s="424">
        <f t="shared" si="8"/>
        <v>45000000</v>
      </c>
    </row>
    <row r="41" spans="1:20" ht="12">
      <c r="A41" s="13">
        <v>5095</v>
      </c>
      <c r="B41" s="43" t="s">
        <v>77</v>
      </c>
      <c r="C41" s="148" t="s">
        <v>168</v>
      </c>
      <c r="D41" s="148" t="s">
        <v>94</v>
      </c>
      <c r="E41" s="148" t="s">
        <v>169</v>
      </c>
      <c r="F41" s="9">
        <v>15000000</v>
      </c>
      <c r="G41" s="9">
        <v>15000000</v>
      </c>
      <c r="H41" s="3">
        <v>43755</v>
      </c>
      <c r="I41" s="152">
        <v>43790</v>
      </c>
      <c r="J41" s="9">
        <v>6000000</v>
      </c>
      <c r="K41" s="152">
        <v>44925</v>
      </c>
      <c r="L41" s="289">
        <v>2000000</v>
      </c>
      <c r="M41" s="9">
        <f t="shared" si="7"/>
        <v>4000000</v>
      </c>
      <c r="N41" s="152">
        <v>44345</v>
      </c>
      <c r="O41" s="43" t="s">
        <v>722</v>
      </c>
      <c r="T41" s="424">
        <f t="shared" si="8"/>
        <v>4000000</v>
      </c>
    </row>
    <row r="42" spans="1:20" s="186" customFormat="1" ht="12">
      <c r="A42" s="13"/>
      <c r="B42" s="13"/>
      <c r="C42" s="13"/>
      <c r="D42" s="36"/>
      <c r="E42" s="36"/>
      <c r="F42" s="289"/>
      <c r="G42" s="124"/>
      <c r="H42" s="7"/>
      <c r="I42" s="184"/>
      <c r="J42" s="124"/>
      <c r="K42" s="184"/>
      <c r="L42" s="32"/>
      <c r="M42" s="124"/>
      <c r="N42" s="184"/>
      <c r="T42" s="62"/>
    </row>
    <row r="43" spans="1:20" ht="12">
      <c r="A43" s="5"/>
      <c r="B43" s="5"/>
      <c r="C43" s="5"/>
      <c r="D43" s="26"/>
      <c r="E43" s="26"/>
      <c r="F43" s="349"/>
      <c r="G43" s="71"/>
      <c r="H43" s="3"/>
      <c r="I43" s="3"/>
      <c r="J43" s="77">
        <f>SUM(J35:J41)</f>
        <v>180410000</v>
      </c>
      <c r="K43" s="7"/>
      <c r="L43" s="77">
        <f>SUM(L35:L41)</f>
        <v>72910000</v>
      </c>
      <c r="M43" s="77">
        <f>SUM(M35:M41)</f>
        <v>107500000</v>
      </c>
      <c r="N43" s="152"/>
      <c r="T43" s="77">
        <f>SUM(T35:T41)</f>
        <v>107500000</v>
      </c>
    </row>
    <row r="44" spans="1:20" ht="12">
      <c r="I44" s="198"/>
      <c r="N44" s="152"/>
    </row>
    <row r="45" spans="1:20">
      <c r="K45" s="200"/>
    </row>
    <row r="46" spans="1:20" ht="12.6" thickBot="1">
      <c r="J46" s="347">
        <f>J16+J32+J43</f>
        <v>1040101500.4799997</v>
      </c>
      <c r="M46" s="347">
        <f>M16+M32+M43</f>
        <v>602482584.42999971</v>
      </c>
      <c r="O46" s="265"/>
      <c r="P46" s="265"/>
      <c r="Q46" s="265"/>
      <c r="R46" s="265"/>
      <c r="T46" s="345">
        <f>T16+T32+T43</f>
        <v>602482584.42999971</v>
      </c>
    </row>
    <row r="47" spans="1:20" ht="12" thickTop="1">
      <c r="M47" s="198"/>
      <c r="O47" s="193"/>
    </row>
    <row r="48" spans="1:20">
      <c r="J48" s="198"/>
      <c r="O48" s="198"/>
    </row>
    <row r="49" spans="8:13">
      <c r="H49" s="200"/>
      <c r="J49" s="198"/>
      <c r="L49" s="193"/>
    </row>
    <row r="50" spans="8:13">
      <c r="H50" s="200"/>
      <c r="M50" s="198"/>
    </row>
    <row r="51" spans="8:13">
      <c r="L51" s="193"/>
    </row>
    <row r="52" spans="8:13">
      <c r="L52" s="456"/>
    </row>
    <row r="53" spans="8:13">
      <c r="L53" s="400"/>
    </row>
    <row r="54" spans="8:13">
      <c r="L54" s="366"/>
    </row>
    <row r="55" spans="8:13">
      <c r="L55" s="198"/>
    </row>
  </sheetData>
  <phoneticPr fontId="3" type="noConversion"/>
  <pageMargins left="0.7" right="0.7" top="0.75" bottom="0.75" header="0.3" footer="0.3"/>
  <pageSetup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B8BBA7-3920-43A8-A750-9D8F66C498AB}">
  <sheetPr codeName="Sheet8"/>
  <dimension ref="A1:T115"/>
  <sheetViews>
    <sheetView topLeftCell="A60" workbookViewId="0">
      <selection activeCell="M107" sqref="M107"/>
    </sheetView>
  </sheetViews>
  <sheetFormatPr defaultRowHeight="11.4"/>
  <cols>
    <col min="1" max="1" width="15.125" bestFit="1" customWidth="1"/>
    <col min="2" max="2" width="13.25" customWidth="1"/>
    <col min="3" max="3" width="43.125" bestFit="1" customWidth="1"/>
    <col min="4" max="4" width="37.125" bestFit="1" customWidth="1"/>
    <col min="5" max="5" width="13.25" customWidth="1"/>
    <col min="6" max="7" width="15.75" bestFit="1" customWidth="1"/>
    <col min="8" max="8" width="15.125" customWidth="1"/>
    <col min="9" max="9" width="11.875" bestFit="1" customWidth="1"/>
    <col min="10" max="10" width="17.75" bestFit="1" customWidth="1"/>
    <col min="11" max="11" width="11.875" bestFit="1" customWidth="1"/>
    <col min="12" max="12" width="17.625" bestFit="1" customWidth="1"/>
    <col min="13" max="13" width="21.625" bestFit="1" customWidth="1"/>
    <col min="14" max="14" width="11" bestFit="1" customWidth="1"/>
    <col min="15" max="16" width="9.125" customWidth="1"/>
    <col min="17" max="17" width="14.125" bestFit="1" customWidth="1"/>
    <col min="18" max="18" width="9.125" customWidth="1"/>
    <col min="20" max="20" width="26.75" bestFit="1" customWidth="1"/>
  </cols>
  <sheetData>
    <row r="1" spans="1:20" ht="13.2">
      <c r="A1" s="159"/>
      <c r="B1" s="159" t="s">
        <v>323</v>
      </c>
      <c r="C1" s="160"/>
      <c r="D1" s="161"/>
      <c r="E1" s="163"/>
      <c r="F1" s="173"/>
      <c r="G1" s="173"/>
      <c r="H1" s="174"/>
      <c r="I1" s="174"/>
      <c r="J1" s="175"/>
      <c r="K1" s="174"/>
      <c r="L1" s="173"/>
      <c r="M1" s="174"/>
      <c r="N1" s="370"/>
      <c r="O1" s="370"/>
      <c r="P1" s="370"/>
      <c r="Q1" s="272"/>
      <c r="T1" s="341" t="s">
        <v>89</v>
      </c>
    </row>
    <row r="2" spans="1:20" ht="13.2">
      <c r="A2" s="153" t="s">
        <v>32</v>
      </c>
      <c r="B2" s="273" t="s">
        <v>37</v>
      </c>
      <c r="C2" s="274" t="s">
        <v>31</v>
      </c>
      <c r="D2" s="275" t="s">
        <v>49</v>
      </c>
      <c r="E2" s="275" t="s">
        <v>45</v>
      </c>
      <c r="F2" s="176" t="s">
        <v>84</v>
      </c>
      <c r="G2" s="176" t="s">
        <v>85</v>
      </c>
      <c r="H2" s="276" t="s">
        <v>96</v>
      </c>
      <c r="I2" s="276" t="s">
        <v>86</v>
      </c>
      <c r="J2" s="177" t="s">
        <v>87</v>
      </c>
      <c r="K2" s="276"/>
      <c r="L2" s="176" t="s">
        <v>88</v>
      </c>
      <c r="M2" s="277" t="s">
        <v>89</v>
      </c>
      <c r="N2" s="371" t="s">
        <v>22</v>
      </c>
      <c r="O2" s="373" t="s">
        <v>172</v>
      </c>
      <c r="P2" s="373" t="s">
        <v>252</v>
      </c>
      <c r="Q2" s="374" t="s">
        <v>254</v>
      </c>
      <c r="T2" s="342" t="s">
        <v>90</v>
      </c>
    </row>
    <row r="3" spans="1:20" ht="13.2">
      <c r="A3" s="153" t="s">
        <v>48</v>
      </c>
      <c r="B3" s="279"/>
      <c r="C3" s="274"/>
      <c r="D3" s="275"/>
      <c r="E3" s="275"/>
      <c r="F3" s="176" t="s">
        <v>55</v>
      </c>
      <c r="G3" s="176" t="s">
        <v>55</v>
      </c>
      <c r="H3" s="276" t="s">
        <v>9</v>
      </c>
      <c r="I3" s="276" t="s">
        <v>18</v>
      </c>
      <c r="J3" s="177" t="s">
        <v>55</v>
      </c>
      <c r="K3" s="276" t="s">
        <v>18</v>
      </c>
      <c r="L3" s="176" t="s">
        <v>55</v>
      </c>
      <c r="M3" s="277" t="s">
        <v>90</v>
      </c>
      <c r="N3" s="371" t="s">
        <v>5</v>
      </c>
      <c r="O3" s="373" t="s">
        <v>171</v>
      </c>
      <c r="P3" s="373" t="s">
        <v>253</v>
      </c>
      <c r="Q3" s="374" t="s">
        <v>255</v>
      </c>
      <c r="T3" s="342" t="s">
        <v>237</v>
      </c>
    </row>
    <row r="4" spans="1:20" ht="13.8" thickBot="1">
      <c r="A4" s="154" t="s">
        <v>17</v>
      </c>
      <c r="B4" s="155"/>
      <c r="C4" s="156"/>
      <c r="D4" s="157"/>
      <c r="E4" s="157"/>
      <c r="F4" s="178"/>
      <c r="G4" s="178"/>
      <c r="H4" s="179"/>
      <c r="I4" s="179"/>
      <c r="J4" s="180"/>
      <c r="K4" s="179"/>
      <c r="L4" s="178"/>
      <c r="M4" s="178"/>
      <c r="N4" s="372" t="s">
        <v>9</v>
      </c>
      <c r="O4" s="372"/>
      <c r="P4" s="372"/>
      <c r="Q4" s="375" t="s">
        <v>9</v>
      </c>
      <c r="T4" s="343" t="s">
        <v>327</v>
      </c>
    </row>
    <row r="5" spans="1:20">
      <c r="A5" s="31" t="s">
        <v>259</v>
      </c>
    </row>
    <row r="6" spans="1:20" s="186" customFormat="1" ht="12">
      <c r="A6" s="31" t="s">
        <v>613</v>
      </c>
      <c r="B6" s="4" t="s">
        <v>77</v>
      </c>
      <c r="C6" s="4" t="s">
        <v>76</v>
      </c>
      <c r="D6" s="4" t="s">
        <v>471</v>
      </c>
      <c r="E6" s="4" t="s">
        <v>78</v>
      </c>
      <c r="F6" s="124">
        <v>30000000</v>
      </c>
      <c r="G6" s="124">
        <v>30000000</v>
      </c>
      <c r="H6" s="7">
        <v>44201</v>
      </c>
      <c r="I6" s="7">
        <v>44208</v>
      </c>
      <c r="J6" s="124">
        <v>30000000</v>
      </c>
      <c r="K6" s="7">
        <v>45290</v>
      </c>
      <c r="L6" s="124">
        <v>0</v>
      </c>
      <c r="M6" s="124">
        <f>J6-L6</f>
        <v>30000000</v>
      </c>
      <c r="N6" s="7">
        <v>44202</v>
      </c>
      <c r="O6" s="5"/>
      <c r="P6" s="5"/>
      <c r="Q6" s="6"/>
    </row>
    <row r="7" spans="1:20" s="186" customFormat="1" ht="12">
      <c r="A7" s="31" t="s">
        <v>614</v>
      </c>
      <c r="B7" s="4" t="s">
        <v>77</v>
      </c>
      <c r="C7" s="4" t="s">
        <v>76</v>
      </c>
      <c r="D7" s="4" t="s">
        <v>615</v>
      </c>
      <c r="E7" s="4" t="s">
        <v>78</v>
      </c>
      <c r="F7" s="124">
        <v>20000000</v>
      </c>
      <c r="G7" s="124">
        <v>20000000</v>
      </c>
      <c r="H7" s="7">
        <v>44201</v>
      </c>
      <c r="I7" s="7">
        <v>44208</v>
      </c>
      <c r="J7" s="124">
        <v>20000000</v>
      </c>
      <c r="K7" s="7">
        <v>45290</v>
      </c>
      <c r="L7" s="124">
        <v>0</v>
      </c>
      <c r="M7" s="124">
        <f>J7-L7</f>
        <v>20000000</v>
      </c>
      <c r="N7" s="7">
        <v>44202</v>
      </c>
      <c r="O7" s="5"/>
      <c r="P7" s="5"/>
      <c r="Q7" s="6"/>
    </row>
    <row r="8" spans="1:20">
      <c r="A8" s="31"/>
      <c r="H8" s="200"/>
      <c r="K8" s="200"/>
    </row>
    <row r="9" spans="1:20" ht="12.75" customHeight="1">
      <c r="A9" s="31" t="s">
        <v>149</v>
      </c>
      <c r="H9" s="200"/>
      <c r="K9" s="200"/>
    </row>
    <row r="10" spans="1:20" ht="12">
      <c r="A10" s="137" t="s">
        <v>386</v>
      </c>
      <c r="B10" s="1" t="s">
        <v>390</v>
      </c>
      <c r="C10" s="1" t="s">
        <v>268</v>
      </c>
      <c r="D10" s="1" t="s">
        <v>387</v>
      </c>
      <c r="E10" s="1" t="s">
        <v>388</v>
      </c>
      <c r="F10" s="9">
        <v>0</v>
      </c>
      <c r="G10" s="9">
        <v>0</v>
      </c>
      <c r="H10" s="200"/>
      <c r="I10" s="3"/>
      <c r="K10" s="200"/>
      <c r="N10" s="3"/>
    </row>
    <row r="11" spans="1:20" s="4" customFormat="1">
      <c r="A11" s="31" t="s">
        <v>389</v>
      </c>
      <c r="B11" s="4" t="s">
        <v>77</v>
      </c>
      <c r="C11" s="4" t="s">
        <v>141</v>
      </c>
      <c r="D11" s="4" t="s">
        <v>270</v>
      </c>
      <c r="E11" s="4" t="s">
        <v>271</v>
      </c>
      <c r="F11" s="124">
        <v>64819515</v>
      </c>
      <c r="G11" s="124">
        <f t="shared" ref="G11:G24" si="0">F11</f>
        <v>64819515</v>
      </c>
      <c r="H11" s="7">
        <v>44209</v>
      </c>
      <c r="I11" s="7">
        <v>44210</v>
      </c>
      <c r="J11" s="124">
        <f>G11</f>
        <v>64819515</v>
      </c>
      <c r="K11" s="7">
        <v>45290</v>
      </c>
      <c r="L11" s="124">
        <v>0</v>
      </c>
      <c r="M11" s="124">
        <f t="shared" ref="M11:M12" si="1">J11-L11</f>
        <v>64819515</v>
      </c>
      <c r="N11" s="7">
        <v>44211</v>
      </c>
    </row>
    <row r="12" spans="1:20" s="4" customFormat="1">
      <c r="A12" s="31" t="s">
        <v>396</v>
      </c>
      <c r="B12" s="4" t="s">
        <v>77</v>
      </c>
      <c r="C12" s="4" t="s">
        <v>382</v>
      </c>
      <c r="D12" s="4" t="s">
        <v>397</v>
      </c>
      <c r="E12" s="4" t="s">
        <v>81</v>
      </c>
      <c r="F12" s="124">
        <v>40000000</v>
      </c>
      <c r="G12" s="124">
        <f t="shared" si="0"/>
        <v>40000000</v>
      </c>
      <c r="H12" s="7">
        <v>44210</v>
      </c>
      <c r="I12" s="7">
        <v>44210</v>
      </c>
      <c r="J12" s="124">
        <f>G12</f>
        <v>40000000</v>
      </c>
      <c r="K12" s="7">
        <v>45290</v>
      </c>
      <c r="L12" s="124">
        <v>0</v>
      </c>
      <c r="M12" s="124">
        <f t="shared" si="1"/>
        <v>40000000</v>
      </c>
      <c r="N12" s="7">
        <v>44211</v>
      </c>
    </row>
    <row r="13" spans="1:20" s="1" customFormat="1" ht="12">
      <c r="A13" s="137" t="s">
        <v>404</v>
      </c>
      <c r="B13" s="1" t="s">
        <v>390</v>
      </c>
      <c r="C13" s="1" t="s">
        <v>268</v>
      </c>
      <c r="D13" s="1" t="s">
        <v>405</v>
      </c>
      <c r="E13" s="1" t="s">
        <v>336</v>
      </c>
      <c r="F13" s="9">
        <v>0</v>
      </c>
      <c r="G13" s="9">
        <f t="shared" si="0"/>
        <v>0</v>
      </c>
      <c r="H13" s="3"/>
      <c r="I13" s="3"/>
      <c r="J13" s="9"/>
      <c r="L13" s="9"/>
      <c r="M13" s="9"/>
      <c r="N13" s="3"/>
    </row>
    <row r="14" spans="1:20" s="4" customFormat="1">
      <c r="A14" s="31" t="s">
        <v>422</v>
      </c>
      <c r="B14" s="4" t="s">
        <v>77</v>
      </c>
      <c r="C14" s="4" t="s">
        <v>98</v>
      </c>
      <c r="D14" s="4" t="s">
        <v>423</v>
      </c>
      <c r="E14" s="4" t="s">
        <v>79</v>
      </c>
      <c r="F14" s="124">
        <v>30000000</v>
      </c>
      <c r="G14" s="124">
        <f t="shared" si="0"/>
        <v>30000000</v>
      </c>
      <c r="H14" s="7">
        <v>44208</v>
      </c>
      <c r="I14" s="7">
        <v>44210</v>
      </c>
      <c r="J14" s="124">
        <f>G14</f>
        <v>30000000</v>
      </c>
      <c r="K14" s="7">
        <v>45290</v>
      </c>
      <c r="L14" s="124">
        <v>0</v>
      </c>
      <c r="M14" s="124">
        <f t="shared" ref="M14:M19" si="2">J14-L14</f>
        <v>30000000</v>
      </c>
      <c r="N14" s="7">
        <v>44211</v>
      </c>
    </row>
    <row r="15" spans="1:20" s="4" customFormat="1">
      <c r="A15" s="31" t="s">
        <v>426</v>
      </c>
      <c r="B15" s="4" t="s">
        <v>77</v>
      </c>
      <c r="C15" s="4" t="s">
        <v>382</v>
      </c>
      <c r="D15" s="4" t="s">
        <v>383</v>
      </c>
      <c r="E15" s="4" t="s">
        <v>81</v>
      </c>
      <c r="F15" s="124">
        <v>50000000</v>
      </c>
      <c r="G15" s="124">
        <f t="shared" si="0"/>
        <v>50000000</v>
      </c>
      <c r="H15" s="7">
        <v>44210</v>
      </c>
      <c r="I15" s="7">
        <v>44210</v>
      </c>
      <c r="J15" s="124">
        <f>G15</f>
        <v>50000000</v>
      </c>
      <c r="K15" s="7">
        <v>45290</v>
      </c>
      <c r="L15" s="124">
        <v>0</v>
      </c>
      <c r="M15" s="124">
        <f t="shared" si="2"/>
        <v>50000000</v>
      </c>
      <c r="N15" s="7">
        <v>44211</v>
      </c>
    </row>
    <row r="16" spans="1:20" s="4" customFormat="1">
      <c r="A16" s="31" t="s">
        <v>431</v>
      </c>
      <c r="B16" s="4" t="s">
        <v>77</v>
      </c>
      <c r="C16" s="4" t="s">
        <v>98</v>
      </c>
      <c r="D16" s="4" t="s">
        <v>432</v>
      </c>
      <c r="E16" s="4" t="s">
        <v>79</v>
      </c>
      <c r="F16" s="124">
        <v>39050000</v>
      </c>
      <c r="G16" s="124">
        <f t="shared" si="0"/>
        <v>39050000</v>
      </c>
      <c r="H16" s="7">
        <v>44208</v>
      </c>
      <c r="I16" s="7">
        <v>44210</v>
      </c>
      <c r="J16" s="124">
        <f>G16</f>
        <v>39050000</v>
      </c>
      <c r="K16" s="7">
        <v>45290</v>
      </c>
      <c r="L16" s="124">
        <v>0</v>
      </c>
      <c r="M16" s="124">
        <f t="shared" si="2"/>
        <v>39050000</v>
      </c>
      <c r="N16" s="7">
        <v>44211</v>
      </c>
    </row>
    <row r="17" spans="1:20" s="4" customFormat="1">
      <c r="A17" s="31" t="s">
        <v>433</v>
      </c>
      <c r="B17" s="4" t="s">
        <v>77</v>
      </c>
      <c r="C17" s="4" t="s">
        <v>382</v>
      </c>
      <c r="D17" s="4" t="s">
        <v>434</v>
      </c>
      <c r="E17" s="4" t="s">
        <v>81</v>
      </c>
      <c r="F17" s="124">
        <v>60000000</v>
      </c>
      <c r="G17" s="124">
        <f t="shared" si="0"/>
        <v>60000000</v>
      </c>
      <c r="H17" s="7">
        <v>44210</v>
      </c>
      <c r="I17" s="7">
        <v>44210</v>
      </c>
      <c r="J17" s="124">
        <f>G17</f>
        <v>60000000</v>
      </c>
      <c r="K17" s="7">
        <v>45290</v>
      </c>
      <c r="L17" s="124">
        <v>0</v>
      </c>
      <c r="M17" s="124">
        <f t="shared" si="2"/>
        <v>60000000</v>
      </c>
      <c r="N17" s="7">
        <v>44211</v>
      </c>
    </row>
    <row r="18" spans="1:20" s="4" customFormat="1">
      <c r="A18" s="31" t="s">
        <v>435</v>
      </c>
      <c r="B18" s="4" t="s">
        <v>77</v>
      </c>
      <c r="C18" s="4" t="s">
        <v>158</v>
      </c>
      <c r="D18" s="4" t="s">
        <v>436</v>
      </c>
      <c r="E18" s="4" t="s">
        <v>275</v>
      </c>
      <c r="F18" s="124">
        <v>15000000</v>
      </c>
      <c r="G18" s="124">
        <f t="shared" si="0"/>
        <v>15000000</v>
      </c>
      <c r="H18" s="7">
        <v>44208</v>
      </c>
      <c r="I18" s="7">
        <v>44210</v>
      </c>
      <c r="J18" s="124">
        <v>15000000</v>
      </c>
      <c r="K18" s="7">
        <v>45290</v>
      </c>
      <c r="L18" s="124">
        <v>0</v>
      </c>
      <c r="M18" s="124">
        <f t="shared" si="2"/>
        <v>15000000</v>
      </c>
      <c r="N18" s="7">
        <v>44211</v>
      </c>
    </row>
    <row r="19" spans="1:20" s="1" customFormat="1" ht="12">
      <c r="A19" s="137" t="s">
        <v>441</v>
      </c>
      <c r="B19" s="1" t="s">
        <v>391</v>
      </c>
      <c r="C19" s="1" t="s">
        <v>382</v>
      </c>
      <c r="D19" s="1" t="s">
        <v>442</v>
      </c>
      <c r="E19" s="1" t="s">
        <v>81</v>
      </c>
      <c r="F19" s="9">
        <v>5000000</v>
      </c>
      <c r="G19" s="9">
        <f t="shared" si="0"/>
        <v>5000000</v>
      </c>
      <c r="H19" s="3">
        <v>44210</v>
      </c>
      <c r="I19" s="3">
        <v>44210</v>
      </c>
      <c r="J19" s="9">
        <f>G19</f>
        <v>5000000</v>
      </c>
      <c r="K19" s="3">
        <v>45290</v>
      </c>
      <c r="L19" s="9">
        <v>5000000</v>
      </c>
      <c r="M19" s="9">
        <f t="shared" si="2"/>
        <v>0</v>
      </c>
      <c r="N19" s="3">
        <v>44292</v>
      </c>
    </row>
    <row r="20" spans="1:20" s="1" customFormat="1" ht="12">
      <c r="A20" s="137"/>
      <c r="F20" s="9"/>
      <c r="G20" s="9"/>
      <c r="H20" s="3"/>
      <c r="I20" s="3"/>
      <c r="J20" s="83"/>
      <c r="L20" s="9"/>
      <c r="M20" s="9"/>
      <c r="N20" s="7"/>
    </row>
    <row r="21" spans="1:20" ht="12">
      <c r="A21" s="31" t="s">
        <v>91</v>
      </c>
      <c r="D21" s="1"/>
      <c r="H21" s="200"/>
      <c r="I21" s="3"/>
      <c r="N21" s="7"/>
    </row>
    <row r="22" spans="1:20" s="186" customFormat="1" ht="12">
      <c r="A22" s="31" t="s">
        <v>379</v>
      </c>
      <c r="B22" s="4" t="s">
        <v>77</v>
      </c>
      <c r="C22" s="4" t="s">
        <v>153</v>
      </c>
      <c r="D22" s="4" t="s">
        <v>380</v>
      </c>
      <c r="E22" s="4" t="s">
        <v>81</v>
      </c>
      <c r="F22" s="124">
        <v>45000000</v>
      </c>
      <c r="G22" s="124">
        <f t="shared" si="0"/>
        <v>45000000</v>
      </c>
      <c r="H22" s="7">
        <v>44210</v>
      </c>
      <c r="I22" s="7">
        <v>44210</v>
      </c>
      <c r="J22" s="124">
        <f>G22</f>
        <v>45000000</v>
      </c>
      <c r="K22" s="7">
        <v>45290</v>
      </c>
      <c r="L22" s="124">
        <v>0</v>
      </c>
      <c r="M22" s="124">
        <f>J22-L22</f>
        <v>45000000</v>
      </c>
      <c r="N22" s="7">
        <v>44211</v>
      </c>
    </row>
    <row r="23" spans="1:20" ht="12">
      <c r="A23" s="137" t="s">
        <v>381</v>
      </c>
      <c r="B23" s="1" t="s">
        <v>390</v>
      </c>
      <c r="C23" s="1" t="s">
        <v>382</v>
      </c>
      <c r="D23" s="1" t="s">
        <v>383</v>
      </c>
      <c r="E23" s="1" t="s">
        <v>81</v>
      </c>
      <c r="F23" s="9">
        <v>0</v>
      </c>
      <c r="G23" s="9">
        <f t="shared" si="0"/>
        <v>0</v>
      </c>
      <c r="H23" s="7"/>
      <c r="I23" s="3"/>
      <c r="J23" s="124"/>
      <c r="K23" s="7"/>
      <c r="L23" s="124"/>
      <c r="M23" s="124"/>
      <c r="N23" s="7"/>
    </row>
    <row r="24" spans="1:20" s="186" customFormat="1" ht="12">
      <c r="A24" s="31" t="s">
        <v>384</v>
      </c>
      <c r="B24" s="4" t="s">
        <v>77</v>
      </c>
      <c r="C24" s="4" t="s">
        <v>153</v>
      </c>
      <c r="D24" s="4" t="s">
        <v>385</v>
      </c>
      <c r="E24" s="4" t="s">
        <v>81</v>
      </c>
      <c r="F24" s="124">
        <v>45000000</v>
      </c>
      <c r="G24" s="124">
        <f t="shared" si="0"/>
        <v>45000000</v>
      </c>
      <c r="H24" s="7">
        <v>44210</v>
      </c>
      <c r="I24" s="7">
        <v>44210</v>
      </c>
      <c r="J24" s="124">
        <v>45000000</v>
      </c>
      <c r="K24" s="7">
        <v>45290</v>
      </c>
      <c r="L24" s="124">
        <v>0</v>
      </c>
      <c r="M24" s="124">
        <f t="shared" ref="M24:M26" si="3">J24-L24</f>
        <v>45000000</v>
      </c>
      <c r="N24" s="7">
        <v>44211</v>
      </c>
    </row>
    <row r="25" spans="1:20" s="186" customFormat="1" ht="12">
      <c r="A25" s="31" t="s">
        <v>427</v>
      </c>
      <c r="B25" s="4" t="s">
        <v>77</v>
      </c>
      <c r="C25" s="4" t="s">
        <v>153</v>
      </c>
      <c r="D25" s="4" t="s">
        <v>428</v>
      </c>
      <c r="E25" s="4" t="s">
        <v>81</v>
      </c>
      <c r="F25" s="144">
        <v>9867722.8700000048</v>
      </c>
      <c r="G25" s="144">
        <f>F25</f>
        <v>9867722.8700000048</v>
      </c>
      <c r="H25" s="7">
        <v>44222</v>
      </c>
      <c r="I25" s="7">
        <v>44222</v>
      </c>
      <c r="J25" s="124">
        <f>G25</f>
        <v>9867722.8700000048</v>
      </c>
      <c r="K25" s="7">
        <v>45290</v>
      </c>
      <c r="L25" s="124">
        <v>0</v>
      </c>
      <c r="M25" s="124">
        <f t="shared" si="3"/>
        <v>9867722.8700000048</v>
      </c>
      <c r="N25" s="7">
        <v>44223</v>
      </c>
    </row>
    <row r="26" spans="1:20" s="186" customFormat="1" ht="12">
      <c r="A26" s="5" t="s">
        <v>429</v>
      </c>
      <c r="B26" s="4" t="s">
        <v>77</v>
      </c>
      <c r="C26" s="4" t="s">
        <v>153</v>
      </c>
      <c r="D26" s="4" t="s">
        <v>430</v>
      </c>
      <c r="E26" s="4" t="s">
        <v>81</v>
      </c>
      <c r="F26" s="124">
        <v>50000000</v>
      </c>
      <c r="G26" s="124">
        <v>50000000</v>
      </c>
      <c r="H26" s="7">
        <v>44222</v>
      </c>
      <c r="I26" s="7">
        <v>44222</v>
      </c>
      <c r="J26" s="124">
        <f>G26</f>
        <v>50000000</v>
      </c>
      <c r="K26" s="7">
        <v>45290</v>
      </c>
      <c r="L26" s="124">
        <v>0</v>
      </c>
      <c r="M26" s="124">
        <f t="shared" si="3"/>
        <v>50000000</v>
      </c>
      <c r="N26" s="7">
        <v>44223</v>
      </c>
    </row>
    <row r="27" spans="1:20" ht="12">
      <c r="A27" s="137"/>
      <c r="B27" s="1"/>
      <c r="C27" s="1"/>
      <c r="D27" s="1"/>
      <c r="E27" s="1"/>
      <c r="F27" s="9"/>
      <c r="H27" s="200"/>
      <c r="K27" s="200"/>
    </row>
    <row r="28" spans="1:20" ht="12">
      <c r="F28" s="194">
        <f>SUM(F6:F27)</f>
        <v>503737237.87</v>
      </c>
      <c r="G28" s="194">
        <f>SUM(G6:G27)</f>
        <v>503737237.87</v>
      </c>
      <c r="H28" s="133"/>
      <c r="I28" s="152"/>
      <c r="J28" s="194">
        <f>SUM(J6:J27)</f>
        <v>503737237.87</v>
      </c>
      <c r="K28" s="133"/>
      <c r="L28" s="194">
        <f t="shared" ref="L28:M28" si="4">SUM(L6:L27)</f>
        <v>5000000</v>
      </c>
      <c r="M28" s="194">
        <f t="shared" si="4"/>
        <v>498737237.87</v>
      </c>
    </row>
    <row r="29" spans="1:20">
      <c r="H29" s="200"/>
      <c r="I29" s="200"/>
    </row>
    <row r="30" spans="1:20" ht="12" thickBot="1">
      <c r="G30" s="198"/>
      <c r="H30" s="200"/>
      <c r="I30" s="200"/>
    </row>
    <row r="31" spans="1:20" ht="12.6" thickBot="1">
      <c r="D31" s="196" t="s">
        <v>154</v>
      </c>
      <c r="E31" s="197"/>
      <c r="F31" s="466">
        <f>503737237.87-G28</f>
        <v>0</v>
      </c>
      <c r="H31" s="426"/>
      <c r="I31" s="200"/>
      <c r="T31" s="329">
        <f>F31</f>
        <v>0</v>
      </c>
    </row>
    <row r="32" spans="1:20">
      <c r="F32" s="193"/>
      <c r="H32" s="200"/>
      <c r="I32" s="200"/>
    </row>
    <row r="33" spans="1:20" ht="12" thickBot="1">
      <c r="F33" s="198"/>
    </row>
    <row r="34" spans="1:20" ht="13.2">
      <c r="A34" s="159"/>
      <c r="B34" s="159" t="s">
        <v>324</v>
      </c>
      <c r="C34" s="131"/>
      <c r="D34" s="131"/>
      <c r="E34" s="131"/>
      <c r="F34" s="181"/>
      <c r="G34" s="181"/>
      <c r="H34" s="181"/>
      <c r="I34" s="181"/>
      <c r="J34" s="181"/>
      <c r="K34" s="181"/>
      <c r="L34" s="181"/>
      <c r="M34" s="181"/>
      <c r="N34" s="281"/>
    </row>
    <row r="35" spans="1:20" ht="13.2">
      <c r="A35" s="153" t="s">
        <v>32</v>
      </c>
      <c r="B35" s="273" t="s">
        <v>37</v>
      </c>
      <c r="C35" s="274" t="s">
        <v>31</v>
      </c>
      <c r="D35" s="282" t="s">
        <v>49</v>
      </c>
      <c r="E35" s="282"/>
      <c r="F35" s="176" t="s">
        <v>84</v>
      </c>
      <c r="G35" s="176" t="s">
        <v>258</v>
      </c>
      <c r="H35" s="276" t="s">
        <v>258</v>
      </c>
      <c r="I35" s="276"/>
      <c r="J35" s="177"/>
      <c r="K35" s="276"/>
      <c r="L35" s="176" t="s">
        <v>88</v>
      </c>
      <c r="M35" s="277" t="s">
        <v>89</v>
      </c>
      <c r="N35" s="376" t="s">
        <v>22</v>
      </c>
    </row>
    <row r="36" spans="1:20" ht="13.2">
      <c r="A36" s="153" t="s">
        <v>48</v>
      </c>
      <c r="B36" s="279"/>
      <c r="C36" s="274"/>
      <c r="D36" s="282"/>
      <c r="E36" s="282"/>
      <c r="F36" s="176" t="s">
        <v>55</v>
      </c>
      <c r="G36" s="176" t="s">
        <v>55</v>
      </c>
      <c r="H36" s="276" t="s">
        <v>9</v>
      </c>
      <c r="I36" s="276"/>
      <c r="J36" s="177"/>
      <c r="K36" s="276" t="s">
        <v>18</v>
      </c>
      <c r="L36" s="176" t="s">
        <v>55</v>
      </c>
      <c r="M36" s="277" t="s">
        <v>90</v>
      </c>
      <c r="N36" s="376" t="s">
        <v>5</v>
      </c>
    </row>
    <row r="37" spans="1:20" ht="13.5" customHeight="1" thickBot="1">
      <c r="A37" s="154" t="s">
        <v>17</v>
      </c>
      <c r="B37" s="155"/>
      <c r="C37" s="156"/>
      <c r="D37" s="158"/>
      <c r="E37" s="158"/>
      <c r="F37" s="178"/>
      <c r="G37" s="178"/>
      <c r="H37" s="179"/>
      <c r="I37" s="179"/>
      <c r="J37" s="182"/>
      <c r="K37" s="179"/>
      <c r="L37" s="178"/>
      <c r="M37" s="178"/>
      <c r="N37" s="377" t="s">
        <v>9</v>
      </c>
    </row>
    <row r="38" spans="1:20" s="1" customFormat="1" ht="12">
      <c r="A38" s="137"/>
      <c r="F38" s="9"/>
      <c r="G38" s="9"/>
      <c r="H38" s="3"/>
      <c r="J38" s="9"/>
      <c r="L38" s="9"/>
      <c r="M38" s="9"/>
      <c r="O38" s="13"/>
      <c r="P38" s="13"/>
      <c r="Q38" s="11"/>
    </row>
    <row r="39" spans="1:20" ht="12" thickBot="1"/>
    <row r="40" spans="1:20" ht="12.6" thickBot="1">
      <c r="D40" s="196" t="s">
        <v>257</v>
      </c>
      <c r="E40" s="197"/>
      <c r="F40" s="199"/>
    </row>
    <row r="41" spans="1:20" ht="12" customHeight="1">
      <c r="F41" s="328"/>
    </row>
    <row r="42" spans="1:20" ht="12" thickBot="1"/>
    <row r="43" spans="1:20" ht="12" customHeight="1">
      <c r="A43" s="159"/>
      <c r="B43" s="159" t="s">
        <v>325</v>
      </c>
      <c r="C43" s="131"/>
      <c r="D43" s="131"/>
      <c r="E43" s="131"/>
      <c r="F43" s="181"/>
      <c r="G43" s="181"/>
      <c r="H43" s="181"/>
      <c r="I43" s="181"/>
      <c r="J43" s="181"/>
      <c r="K43" s="181"/>
      <c r="L43" s="181"/>
      <c r="M43" s="181"/>
      <c r="N43" s="281"/>
    </row>
    <row r="44" spans="1:20" ht="12.75" customHeight="1">
      <c r="A44" s="153" t="s">
        <v>32</v>
      </c>
      <c r="B44" s="273" t="s">
        <v>37</v>
      </c>
      <c r="C44" s="274" t="s">
        <v>31</v>
      </c>
      <c r="D44" s="282" t="s">
        <v>49</v>
      </c>
      <c r="E44" s="282" t="s">
        <v>45</v>
      </c>
      <c r="F44" s="176" t="s">
        <v>84</v>
      </c>
      <c r="G44" s="176" t="s">
        <v>54</v>
      </c>
      <c r="H44" s="276"/>
      <c r="I44" s="276" t="s">
        <v>34</v>
      </c>
      <c r="J44" s="177" t="s">
        <v>87</v>
      </c>
      <c r="K44" s="276"/>
      <c r="L44" s="176" t="s">
        <v>92</v>
      </c>
      <c r="M44" s="277" t="s">
        <v>89</v>
      </c>
      <c r="N44" s="278" t="s">
        <v>22</v>
      </c>
    </row>
    <row r="45" spans="1:20" ht="13.2">
      <c r="A45" s="153" t="s">
        <v>48</v>
      </c>
      <c r="B45" s="279"/>
      <c r="C45" s="274"/>
      <c r="D45" s="282"/>
      <c r="E45" s="282"/>
      <c r="F45" s="176" t="s">
        <v>55</v>
      </c>
      <c r="G45" s="176" t="s">
        <v>55</v>
      </c>
      <c r="H45" s="276" t="s">
        <v>9</v>
      </c>
      <c r="I45" s="276" t="s">
        <v>18</v>
      </c>
      <c r="J45" s="177" t="s">
        <v>55</v>
      </c>
      <c r="K45" s="276" t="s">
        <v>18</v>
      </c>
      <c r="L45" s="176" t="s">
        <v>55</v>
      </c>
      <c r="M45" s="277" t="s">
        <v>90</v>
      </c>
      <c r="N45" s="278" t="s">
        <v>5</v>
      </c>
    </row>
    <row r="46" spans="1:20" ht="13.8" thickBot="1">
      <c r="A46" s="154" t="s">
        <v>17</v>
      </c>
      <c r="B46" s="155"/>
      <c r="C46" s="156"/>
      <c r="D46" s="158"/>
      <c r="E46" s="158"/>
      <c r="F46" s="178"/>
      <c r="G46" s="178"/>
      <c r="H46" s="179"/>
      <c r="I46" s="179"/>
      <c r="J46" s="182"/>
      <c r="K46" s="179"/>
      <c r="L46" s="178"/>
      <c r="M46" s="183" t="s">
        <v>93</v>
      </c>
      <c r="N46" s="280" t="s">
        <v>9</v>
      </c>
    </row>
    <row r="47" spans="1:20">
      <c r="A47" s="162" t="s">
        <v>56</v>
      </c>
      <c r="L47" s="198"/>
    </row>
    <row r="48" spans="1:20" ht="12">
      <c r="A48" s="13">
        <v>5213</v>
      </c>
      <c r="B48" s="13" t="s">
        <v>77</v>
      </c>
      <c r="C48" s="13" t="s">
        <v>410</v>
      </c>
      <c r="D48" s="36" t="s">
        <v>392</v>
      </c>
      <c r="E48" s="36" t="s">
        <v>82</v>
      </c>
      <c r="F48" s="425">
        <v>28000000</v>
      </c>
      <c r="G48" s="289">
        <f t="shared" ref="G48:G63" si="5">F48</f>
        <v>28000000</v>
      </c>
      <c r="H48" s="11">
        <v>44048</v>
      </c>
      <c r="I48" s="11">
        <f t="shared" ref="I48:I64" si="6">H48+35</f>
        <v>44083</v>
      </c>
      <c r="J48" s="289">
        <v>28000000</v>
      </c>
      <c r="K48" s="11">
        <v>45290</v>
      </c>
      <c r="L48" s="350">
        <v>26102168.199999999</v>
      </c>
      <c r="M48" s="350">
        <f t="shared" ref="M48:M65" si="7">J48-L48</f>
        <v>1897831.8000000007</v>
      </c>
      <c r="N48" s="152">
        <v>44299</v>
      </c>
      <c r="O48" s="1" t="s">
        <v>723</v>
      </c>
      <c r="T48" s="289">
        <f>M48</f>
        <v>1897831.8000000007</v>
      </c>
    </row>
    <row r="49" spans="1:20" ht="12">
      <c r="A49" s="13">
        <v>5214</v>
      </c>
      <c r="B49" s="13" t="s">
        <v>77</v>
      </c>
      <c r="C49" s="36" t="s">
        <v>312</v>
      </c>
      <c r="D49" s="36" t="s">
        <v>300</v>
      </c>
      <c r="E49" s="36" t="s">
        <v>247</v>
      </c>
      <c r="F49" s="439">
        <v>40000000</v>
      </c>
      <c r="G49" s="439">
        <f t="shared" si="5"/>
        <v>40000000</v>
      </c>
      <c r="H49" s="11">
        <v>44048</v>
      </c>
      <c r="I49" s="11">
        <f t="shared" si="6"/>
        <v>44083</v>
      </c>
      <c r="J49" s="439">
        <v>40000000</v>
      </c>
      <c r="K49" s="11">
        <v>45290</v>
      </c>
      <c r="L49" s="289">
        <v>0</v>
      </c>
      <c r="M49" s="289">
        <f t="shared" si="7"/>
        <v>40000000</v>
      </c>
      <c r="N49" s="152">
        <v>44266</v>
      </c>
      <c r="T49" s="289">
        <f t="shared" ref="T49:T64" si="8">M49</f>
        <v>40000000</v>
      </c>
    </row>
    <row r="50" spans="1:20" ht="12">
      <c r="A50" s="13">
        <v>5216</v>
      </c>
      <c r="B50" s="13" t="s">
        <v>77</v>
      </c>
      <c r="C50" s="36" t="s">
        <v>76</v>
      </c>
      <c r="D50" s="36" t="s">
        <v>392</v>
      </c>
      <c r="E50" s="36" t="s">
        <v>152</v>
      </c>
      <c r="F50" s="439">
        <v>409970085</v>
      </c>
      <c r="G50" s="439">
        <f t="shared" si="5"/>
        <v>409970085</v>
      </c>
      <c r="H50" s="11">
        <v>44048</v>
      </c>
      <c r="I50" s="11">
        <f t="shared" si="6"/>
        <v>44083</v>
      </c>
      <c r="J50" s="439">
        <v>409970085</v>
      </c>
      <c r="K50" s="11">
        <v>45290</v>
      </c>
      <c r="L50" s="289">
        <v>0</v>
      </c>
      <c r="M50" s="289">
        <f t="shared" si="7"/>
        <v>409970085</v>
      </c>
      <c r="N50" s="152">
        <v>44266</v>
      </c>
      <c r="T50" s="289">
        <f t="shared" si="8"/>
        <v>409970085</v>
      </c>
    </row>
    <row r="51" spans="1:20" ht="12">
      <c r="A51" s="13">
        <v>5217</v>
      </c>
      <c r="B51" s="13" t="s">
        <v>77</v>
      </c>
      <c r="C51" s="13" t="s">
        <v>150</v>
      </c>
      <c r="D51" s="36" t="s">
        <v>392</v>
      </c>
      <c r="E51" s="36" t="s">
        <v>152</v>
      </c>
      <c r="F51" s="425">
        <v>122966432</v>
      </c>
      <c r="G51" s="439">
        <f t="shared" si="5"/>
        <v>122966432</v>
      </c>
      <c r="H51" s="11">
        <v>44048</v>
      </c>
      <c r="I51" s="11">
        <f t="shared" si="6"/>
        <v>44083</v>
      </c>
      <c r="J51" s="439">
        <v>122966432</v>
      </c>
      <c r="K51" s="11">
        <v>45290</v>
      </c>
      <c r="L51" s="289">
        <v>0</v>
      </c>
      <c r="M51" s="289">
        <f t="shared" si="7"/>
        <v>122966432</v>
      </c>
      <c r="N51" s="152">
        <v>44260</v>
      </c>
      <c r="T51" s="289">
        <f t="shared" si="8"/>
        <v>122966432</v>
      </c>
    </row>
    <row r="52" spans="1:20" ht="12">
      <c r="A52" s="13">
        <v>5218</v>
      </c>
      <c r="B52" s="13" t="s">
        <v>77</v>
      </c>
      <c r="C52" s="13" t="s">
        <v>311</v>
      </c>
      <c r="D52" s="36" t="s">
        <v>411</v>
      </c>
      <c r="E52" s="36" t="s">
        <v>243</v>
      </c>
      <c r="F52" s="425">
        <v>64819515</v>
      </c>
      <c r="G52" s="439">
        <f t="shared" si="5"/>
        <v>64819515</v>
      </c>
      <c r="H52" s="11">
        <v>44048</v>
      </c>
      <c r="I52" s="11">
        <f t="shared" si="6"/>
        <v>44083</v>
      </c>
      <c r="J52" s="439">
        <v>64819515</v>
      </c>
      <c r="K52" s="11">
        <v>45290</v>
      </c>
      <c r="L52" s="289">
        <v>0</v>
      </c>
      <c r="M52" s="289">
        <f t="shared" si="7"/>
        <v>64819515</v>
      </c>
      <c r="N52" s="152">
        <v>44266</v>
      </c>
      <c r="T52" s="289">
        <f t="shared" si="8"/>
        <v>64819515</v>
      </c>
    </row>
    <row r="53" spans="1:20" ht="12">
      <c r="A53" s="13">
        <v>5219</v>
      </c>
      <c r="B53" s="13" t="s">
        <v>77</v>
      </c>
      <c r="C53" s="13" t="s">
        <v>315</v>
      </c>
      <c r="D53" s="36" t="s">
        <v>411</v>
      </c>
      <c r="E53" s="36" t="s">
        <v>304</v>
      </c>
      <c r="F53" s="425">
        <v>10000000</v>
      </c>
      <c r="G53" s="439">
        <f t="shared" si="5"/>
        <v>10000000</v>
      </c>
      <c r="H53" s="11">
        <v>44048</v>
      </c>
      <c r="I53" s="11">
        <f t="shared" si="6"/>
        <v>44083</v>
      </c>
      <c r="J53" s="439">
        <v>10000000</v>
      </c>
      <c r="K53" s="11">
        <v>45290</v>
      </c>
      <c r="L53" s="289">
        <v>0</v>
      </c>
      <c r="M53" s="289">
        <f t="shared" si="7"/>
        <v>10000000</v>
      </c>
      <c r="N53" s="152">
        <v>44266</v>
      </c>
      <c r="T53" s="289">
        <f t="shared" si="8"/>
        <v>10000000</v>
      </c>
    </row>
    <row r="54" spans="1:20" ht="12">
      <c r="A54" s="13">
        <v>5220</v>
      </c>
      <c r="B54" s="13" t="s">
        <v>77</v>
      </c>
      <c r="C54" s="13" t="s">
        <v>308</v>
      </c>
      <c r="D54" s="36" t="s">
        <v>411</v>
      </c>
      <c r="E54" s="36" t="s">
        <v>306</v>
      </c>
      <c r="F54" s="425">
        <v>20000000</v>
      </c>
      <c r="G54" s="439">
        <f t="shared" si="5"/>
        <v>20000000</v>
      </c>
      <c r="H54" s="11">
        <v>44048</v>
      </c>
      <c r="I54" s="11">
        <f t="shared" si="6"/>
        <v>44083</v>
      </c>
      <c r="J54" s="439">
        <v>20000000</v>
      </c>
      <c r="K54" s="11">
        <v>45290</v>
      </c>
      <c r="L54" s="289">
        <v>0</v>
      </c>
      <c r="M54" s="289">
        <f t="shared" si="7"/>
        <v>20000000</v>
      </c>
      <c r="N54" s="152">
        <v>44266</v>
      </c>
      <c r="T54" s="289">
        <f t="shared" si="8"/>
        <v>20000000</v>
      </c>
    </row>
    <row r="55" spans="1:20" ht="12">
      <c r="A55" s="13">
        <v>5221</v>
      </c>
      <c r="B55" s="13" t="s">
        <v>77</v>
      </c>
      <c r="C55" s="13" t="s">
        <v>310</v>
      </c>
      <c r="D55" s="36" t="s">
        <v>411</v>
      </c>
      <c r="E55" s="36" t="s">
        <v>169</v>
      </c>
      <c r="F55" s="425">
        <v>6000000</v>
      </c>
      <c r="G55" s="439">
        <f t="shared" si="5"/>
        <v>6000000</v>
      </c>
      <c r="H55" s="11">
        <v>44048</v>
      </c>
      <c r="I55" s="11">
        <f t="shared" si="6"/>
        <v>44083</v>
      </c>
      <c r="J55" s="439">
        <v>6000000</v>
      </c>
      <c r="K55" s="11">
        <v>45290</v>
      </c>
      <c r="L55" s="289">
        <v>0</v>
      </c>
      <c r="M55" s="289">
        <f t="shared" si="7"/>
        <v>6000000</v>
      </c>
      <c r="N55" s="152">
        <v>44266</v>
      </c>
      <c r="T55" s="289">
        <f t="shared" si="8"/>
        <v>6000000</v>
      </c>
    </row>
    <row r="56" spans="1:20" ht="12">
      <c r="A56" s="13">
        <v>5222</v>
      </c>
      <c r="B56" s="13" t="s">
        <v>77</v>
      </c>
      <c r="C56" s="13" t="s">
        <v>309</v>
      </c>
      <c r="D56" s="36" t="s">
        <v>411</v>
      </c>
      <c r="E56" s="36" t="s">
        <v>299</v>
      </c>
      <c r="F56" s="425">
        <v>30000000</v>
      </c>
      <c r="G56" s="439">
        <f t="shared" si="5"/>
        <v>30000000</v>
      </c>
      <c r="H56" s="11">
        <v>44048</v>
      </c>
      <c r="I56" s="11">
        <f t="shared" si="6"/>
        <v>44083</v>
      </c>
      <c r="J56" s="439">
        <v>30000000</v>
      </c>
      <c r="K56" s="11">
        <v>45290</v>
      </c>
      <c r="L56" s="289">
        <v>0</v>
      </c>
      <c r="M56" s="289">
        <f t="shared" si="7"/>
        <v>30000000</v>
      </c>
      <c r="N56" s="152">
        <v>44266</v>
      </c>
      <c r="T56" s="289">
        <f t="shared" si="8"/>
        <v>30000000</v>
      </c>
    </row>
    <row r="57" spans="1:20" ht="12">
      <c r="A57" s="13">
        <v>5223</v>
      </c>
      <c r="B57" s="13" t="s">
        <v>77</v>
      </c>
      <c r="C57" s="13" t="s">
        <v>313</v>
      </c>
      <c r="D57" s="36" t="s">
        <v>411</v>
      </c>
      <c r="E57" s="36" t="s">
        <v>412</v>
      </c>
      <c r="F57" s="425">
        <v>35000000</v>
      </c>
      <c r="G57" s="439">
        <f t="shared" si="5"/>
        <v>35000000</v>
      </c>
      <c r="H57" s="11">
        <v>44048</v>
      </c>
      <c r="I57" s="11">
        <f t="shared" si="6"/>
        <v>44083</v>
      </c>
      <c r="J57" s="439">
        <v>35000000</v>
      </c>
      <c r="K57" s="11">
        <v>45290</v>
      </c>
      <c r="L57" s="289">
        <v>0</v>
      </c>
      <c r="M57" s="289">
        <f t="shared" si="7"/>
        <v>35000000</v>
      </c>
      <c r="N57" s="152">
        <v>44266</v>
      </c>
      <c r="T57" s="289">
        <f t="shared" si="8"/>
        <v>35000000</v>
      </c>
    </row>
    <row r="58" spans="1:20" ht="12">
      <c r="A58" s="13">
        <v>5224</v>
      </c>
      <c r="B58" s="13" t="s">
        <v>77</v>
      </c>
      <c r="C58" s="13" t="s">
        <v>319</v>
      </c>
      <c r="D58" s="36" t="s">
        <v>411</v>
      </c>
      <c r="E58" s="36" t="s">
        <v>78</v>
      </c>
      <c r="F58" s="425">
        <v>64819515</v>
      </c>
      <c r="G58" s="439">
        <f t="shared" si="5"/>
        <v>64819515</v>
      </c>
      <c r="H58" s="11">
        <v>44048</v>
      </c>
      <c r="I58" s="11">
        <f t="shared" si="6"/>
        <v>44083</v>
      </c>
      <c r="J58" s="439">
        <f>G58</f>
        <v>64819515</v>
      </c>
      <c r="K58" s="11">
        <v>45290</v>
      </c>
      <c r="L58" s="289">
        <v>0</v>
      </c>
      <c r="M58" s="289">
        <f t="shared" si="7"/>
        <v>64819515</v>
      </c>
      <c r="N58" s="152">
        <v>44266</v>
      </c>
      <c r="T58" s="289">
        <f t="shared" si="8"/>
        <v>64819515</v>
      </c>
    </row>
    <row r="59" spans="1:20" ht="12">
      <c r="A59" s="13">
        <v>5225</v>
      </c>
      <c r="B59" s="13" t="s">
        <v>77</v>
      </c>
      <c r="C59" s="13" t="s">
        <v>268</v>
      </c>
      <c r="D59" s="36" t="s">
        <v>392</v>
      </c>
      <c r="E59" s="36" t="s">
        <v>373</v>
      </c>
      <c r="F59" s="425">
        <v>30000000</v>
      </c>
      <c r="G59" s="439">
        <f t="shared" si="5"/>
        <v>30000000</v>
      </c>
      <c r="H59" s="11">
        <v>44048</v>
      </c>
      <c r="I59" s="11">
        <f t="shared" si="6"/>
        <v>44083</v>
      </c>
      <c r="J59" s="439">
        <v>30000000</v>
      </c>
      <c r="K59" s="11">
        <v>45290</v>
      </c>
      <c r="L59" s="289">
        <v>0</v>
      </c>
      <c r="M59" s="289">
        <f t="shared" si="7"/>
        <v>30000000</v>
      </c>
      <c r="N59" s="152">
        <v>44251</v>
      </c>
      <c r="T59" s="289">
        <f t="shared" si="8"/>
        <v>30000000</v>
      </c>
    </row>
    <row r="60" spans="1:20" ht="12">
      <c r="A60" s="13">
        <v>5226</v>
      </c>
      <c r="B60" s="13" t="s">
        <v>77</v>
      </c>
      <c r="C60" s="13" t="s">
        <v>141</v>
      </c>
      <c r="D60" s="36" t="s">
        <v>392</v>
      </c>
      <c r="E60" s="36" t="s">
        <v>413</v>
      </c>
      <c r="F60" s="425">
        <v>27500000</v>
      </c>
      <c r="G60" s="439">
        <f t="shared" si="5"/>
        <v>27500000</v>
      </c>
      <c r="H60" s="11">
        <v>44048</v>
      </c>
      <c r="I60" s="11">
        <f t="shared" si="6"/>
        <v>44083</v>
      </c>
      <c r="J60" s="439">
        <v>27500000</v>
      </c>
      <c r="K60" s="11">
        <v>45290</v>
      </c>
      <c r="L60" s="289">
        <v>0</v>
      </c>
      <c r="M60" s="289">
        <f t="shared" si="7"/>
        <v>27500000</v>
      </c>
      <c r="N60" s="152">
        <v>44251</v>
      </c>
      <c r="T60" s="289">
        <f t="shared" si="8"/>
        <v>27500000</v>
      </c>
    </row>
    <row r="61" spans="1:20" ht="12">
      <c r="A61" s="13">
        <v>5227</v>
      </c>
      <c r="B61" s="13" t="s">
        <v>77</v>
      </c>
      <c r="C61" s="36" t="s">
        <v>316</v>
      </c>
      <c r="D61" s="36" t="s">
        <v>414</v>
      </c>
      <c r="E61" s="36" t="s">
        <v>413</v>
      </c>
      <c r="F61" s="439">
        <v>37319515</v>
      </c>
      <c r="G61" s="439">
        <f t="shared" si="5"/>
        <v>37319515</v>
      </c>
      <c r="H61" s="11">
        <v>44048</v>
      </c>
      <c r="I61" s="11">
        <f t="shared" si="6"/>
        <v>44083</v>
      </c>
      <c r="J61" s="439">
        <v>37319515</v>
      </c>
      <c r="K61" s="11">
        <v>45290</v>
      </c>
      <c r="L61" s="289">
        <v>0</v>
      </c>
      <c r="M61" s="289">
        <f t="shared" si="7"/>
        <v>37319515</v>
      </c>
      <c r="N61" s="152">
        <v>44266</v>
      </c>
      <c r="T61" s="289">
        <f t="shared" si="8"/>
        <v>37319515</v>
      </c>
    </row>
    <row r="62" spans="1:20" ht="12">
      <c r="A62" s="13">
        <v>5228</v>
      </c>
      <c r="B62" s="13" t="s">
        <v>77</v>
      </c>
      <c r="C62" s="36" t="s">
        <v>437</v>
      </c>
      <c r="D62" s="36" t="s">
        <v>414</v>
      </c>
      <c r="E62" s="36" t="s">
        <v>167</v>
      </c>
      <c r="F62" s="439">
        <v>4000000</v>
      </c>
      <c r="G62" s="439">
        <f t="shared" si="5"/>
        <v>4000000</v>
      </c>
      <c r="H62" s="11">
        <v>44048</v>
      </c>
      <c r="I62" s="11">
        <f t="shared" si="6"/>
        <v>44083</v>
      </c>
      <c r="J62" s="439">
        <v>4000000</v>
      </c>
      <c r="K62" s="11">
        <v>45290</v>
      </c>
      <c r="L62" s="289">
        <v>0</v>
      </c>
      <c r="M62" s="289">
        <f t="shared" si="7"/>
        <v>4000000</v>
      </c>
      <c r="N62" s="152">
        <v>44266</v>
      </c>
      <c r="T62" s="289">
        <f t="shared" si="8"/>
        <v>4000000</v>
      </c>
    </row>
    <row r="63" spans="1:20" ht="12">
      <c r="A63" s="13">
        <v>5229</v>
      </c>
      <c r="B63" s="13" t="s">
        <v>77</v>
      </c>
      <c r="C63" s="36" t="s">
        <v>307</v>
      </c>
      <c r="D63" s="36" t="s">
        <v>415</v>
      </c>
      <c r="E63" s="36" t="s">
        <v>165</v>
      </c>
      <c r="F63" s="439">
        <v>15000000</v>
      </c>
      <c r="G63" s="439">
        <f t="shared" si="5"/>
        <v>15000000</v>
      </c>
      <c r="H63" s="11">
        <v>44048</v>
      </c>
      <c r="I63" s="11">
        <f t="shared" si="6"/>
        <v>44083</v>
      </c>
      <c r="J63" s="439">
        <v>15000000</v>
      </c>
      <c r="K63" s="11">
        <v>45290</v>
      </c>
      <c r="L63" s="289">
        <v>0</v>
      </c>
      <c r="M63" s="289">
        <f t="shared" si="7"/>
        <v>15000000</v>
      </c>
      <c r="N63" s="152">
        <v>44266</v>
      </c>
      <c r="T63" s="289">
        <f t="shared" si="8"/>
        <v>15000000</v>
      </c>
    </row>
    <row r="64" spans="1:20" ht="12">
      <c r="A64" s="13">
        <v>5232</v>
      </c>
      <c r="B64" s="13" t="s">
        <v>77</v>
      </c>
      <c r="C64" s="36" t="s">
        <v>150</v>
      </c>
      <c r="D64" s="36" t="s">
        <v>392</v>
      </c>
      <c r="E64" s="36" t="s">
        <v>152</v>
      </c>
      <c r="F64" s="439">
        <v>118111220</v>
      </c>
      <c r="G64" s="439">
        <f>F64</f>
        <v>118111220</v>
      </c>
      <c r="H64" s="11">
        <v>44050</v>
      </c>
      <c r="I64" s="11">
        <f t="shared" si="6"/>
        <v>44085</v>
      </c>
      <c r="J64" s="439">
        <v>118111220</v>
      </c>
      <c r="K64" s="11">
        <v>45290</v>
      </c>
      <c r="L64" s="289">
        <v>0</v>
      </c>
      <c r="M64" s="289">
        <f t="shared" si="7"/>
        <v>118111220</v>
      </c>
      <c r="N64" s="152">
        <v>44260</v>
      </c>
      <c r="T64" s="289">
        <f t="shared" si="8"/>
        <v>118111220</v>
      </c>
    </row>
    <row r="65" spans="1:20" s="429" customFormat="1" ht="12">
      <c r="A65" s="501">
        <v>5267</v>
      </c>
      <c r="B65" s="501" t="s">
        <v>77</v>
      </c>
      <c r="C65" s="502" t="s">
        <v>76</v>
      </c>
      <c r="D65" s="502" t="s">
        <v>248</v>
      </c>
      <c r="E65" s="502" t="s">
        <v>152</v>
      </c>
      <c r="F65" s="503">
        <v>162000000</v>
      </c>
      <c r="G65" s="504">
        <v>162000000</v>
      </c>
      <c r="H65" s="505">
        <v>44148</v>
      </c>
      <c r="I65" s="506">
        <f>H65+35</f>
        <v>44183</v>
      </c>
      <c r="J65" s="504">
        <v>0</v>
      </c>
      <c r="K65" s="505">
        <f>H65+210</f>
        <v>44358</v>
      </c>
      <c r="L65" s="507">
        <v>0</v>
      </c>
      <c r="M65" s="507">
        <f t="shared" si="7"/>
        <v>0</v>
      </c>
      <c r="N65" s="434">
        <v>44244</v>
      </c>
      <c r="O65" s="479" t="s">
        <v>667</v>
      </c>
      <c r="T65" s="507">
        <v>0</v>
      </c>
    </row>
    <row r="66" spans="1:20" ht="12">
      <c r="A66" s="13"/>
      <c r="B66" s="13"/>
      <c r="C66" s="13"/>
      <c r="D66" s="13"/>
      <c r="E66" s="13"/>
      <c r="F66" s="289"/>
      <c r="G66" s="185"/>
      <c r="H66" s="185"/>
      <c r="I66" s="185"/>
      <c r="J66" s="185"/>
      <c r="K66" s="185"/>
      <c r="M66" s="204"/>
      <c r="N66" s="152"/>
      <c r="T66" s="478"/>
    </row>
    <row r="67" spans="1:20" ht="12">
      <c r="F67" s="185"/>
      <c r="G67" s="499"/>
      <c r="H67" s="185"/>
      <c r="I67" s="185"/>
      <c r="J67" s="194">
        <f>SUM(J48:J66)</f>
        <v>1063506282</v>
      </c>
      <c r="K67" s="416"/>
      <c r="L67" s="194">
        <f>SUM(L48:L66)</f>
        <v>26102168.199999999</v>
      </c>
      <c r="M67" s="194">
        <f t="shared" ref="M67" si="9">SUM(M48:M66)</f>
        <v>1037404113.8</v>
      </c>
      <c r="N67" s="152"/>
      <c r="T67" s="329">
        <f>SUM(T48:T66)</f>
        <v>1037404113.8</v>
      </c>
    </row>
    <row r="68" spans="1:20" ht="12.6" thickBot="1">
      <c r="F68" s="499"/>
      <c r="G68" s="500"/>
      <c r="H68" s="185"/>
      <c r="I68" s="185"/>
      <c r="J68" s="185"/>
      <c r="K68" s="185"/>
      <c r="M68" s="400"/>
      <c r="N68" s="152"/>
    </row>
    <row r="69" spans="1:20" ht="12">
      <c r="A69" s="169" t="s">
        <v>94</v>
      </c>
      <c r="F69" s="499"/>
      <c r="G69" s="499"/>
      <c r="H69" s="152"/>
      <c r="I69" s="185"/>
      <c r="J69" s="488"/>
      <c r="K69" s="290"/>
      <c r="M69" s="400"/>
      <c r="N69" s="152"/>
    </row>
    <row r="70" spans="1:20" ht="12">
      <c r="A70" s="13">
        <v>5199</v>
      </c>
      <c r="B70" s="13" t="s">
        <v>77</v>
      </c>
      <c r="C70" s="13" t="s">
        <v>616</v>
      </c>
      <c r="D70" s="36" t="s">
        <v>94</v>
      </c>
      <c r="E70" s="36" t="s">
        <v>79</v>
      </c>
      <c r="F70" s="425">
        <v>60000000</v>
      </c>
      <c r="G70" s="289">
        <v>60000000</v>
      </c>
      <c r="H70" s="11">
        <v>44019</v>
      </c>
      <c r="I70" s="11">
        <f>H70+35</f>
        <v>44054</v>
      </c>
      <c r="J70" s="289">
        <v>60000000</v>
      </c>
      <c r="K70" s="11">
        <v>45290</v>
      </c>
      <c r="L70" s="289">
        <v>0</v>
      </c>
      <c r="M70" s="289">
        <f>J70-L70</f>
        <v>60000000</v>
      </c>
      <c r="N70" s="152">
        <v>44310</v>
      </c>
      <c r="O70" s="288"/>
      <c r="T70" s="289">
        <f>M70</f>
        <v>60000000</v>
      </c>
    </row>
    <row r="71" spans="1:20" ht="12">
      <c r="A71" s="13">
        <v>5203</v>
      </c>
      <c r="B71" s="13" t="s">
        <v>77</v>
      </c>
      <c r="C71" s="13" t="s">
        <v>378</v>
      </c>
      <c r="D71" s="36" t="s">
        <v>94</v>
      </c>
      <c r="E71" s="36" t="s">
        <v>80</v>
      </c>
      <c r="F71" s="425">
        <v>50000000</v>
      </c>
      <c r="G71" s="289">
        <v>50000000</v>
      </c>
      <c r="H71" s="11">
        <v>44028</v>
      </c>
      <c r="I71" s="11">
        <f>H71+35</f>
        <v>44063</v>
      </c>
      <c r="J71" s="289">
        <v>50000000</v>
      </c>
      <c r="K71" s="11">
        <v>45290</v>
      </c>
      <c r="L71" s="289">
        <v>0</v>
      </c>
      <c r="M71" s="289">
        <f>J71-L71</f>
        <v>50000000</v>
      </c>
      <c r="N71" s="152">
        <v>44219</v>
      </c>
      <c r="O71" s="288"/>
      <c r="Q71" s="494"/>
      <c r="T71" s="289">
        <f t="shared" ref="T71:T95" si="10">M71</f>
        <v>50000000</v>
      </c>
    </row>
    <row r="72" spans="1:20" ht="12">
      <c r="A72" s="13">
        <v>5204</v>
      </c>
      <c r="B72" s="13" t="s">
        <v>391</v>
      </c>
      <c r="C72" s="13" t="s">
        <v>76</v>
      </c>
      <c r="D72" s="13" t="s">
        <v>407</v>
      </c>
      <c r="E72" s="13" t="s">
        <v>295</v>
      </c>
      <c r="F72" s="289">
        <v>35000000</v>
      </c>
      <c r="G72" s="289">
        <v>35000000</v>
      </c>
      <c r="H72" s="11">
        <v>44028</v>
      </c>
      <c r="I72" s="11">
        <f t="shared" ref="I72:I97" si="11">H72+35</f>
        <v>44063</v>
      </c>
      <c r="J72" s="289">
        <v>35000000</v>
      </c>
      <c r="K72" s="11">
        <f t="shared" ref="K72:K97" si="12">H72+180</f>
        <v>44208</v>
      </c>
      <c r="L72" s="354">
        <f>26950000+6000000+2050000</f>
        <v>35000000</v>
      </c>
      <c r="M72" s="354">
        <f>J72-L72</f>
        <v>0</v>
      </c>
      <c r="N72" s="491">
        <v>44323</v>
      </c>
      <c r="O72" s="288" t="s">
        <v>746</v>
      </c>
      <c r="T72" s="289">
        <f t="shared" si="10"/>
        <v>0</v>
      </c>
    </row>
    <row r="73" spans="1:20" ht="12">
      <c r="A73" s="13">
        <v>5208</v>
      </c>
      <c r="B73" s="13" t="s">
        <v>391</v>
      </c>
      <c r="C73" s="13" t="s">
        <v>97</v>
      </c>
      <c r="D73" s="36" t="s">
        <v>334</v>
      </c>
      <c r="E73" s="36" t="s">
        <v>95</v>
      </c>
      <c r="F73" s="425">
        <v>38100000</v>
      </c>
      <c r="G73" s="289">
        <v>38100000</v>
      </c>
      <c r="H73" s="11">
        <v>44041</v>
      </c>
      <c r="I73" s="11">
        <f t="shared" si="11"/>
        <v>44076</v>
      </c>
      <c r="J73" s="289">
        <v>38100000</v>
      </c>
      <c r="K73" s="11">
        <f t="shared" si="12"/>
        <v>44221</v>
      </c>
      <c r="L73" s="289">
        <v>38100000</v>
      </c>
      <c r="M73" s="289">
        <f t="shared" ref="M73:M97" si="13">J73-L73</f>
        <v>0</v>
      </c>
      <c r="N73" s="152">
        <v>44224</v>
      </c>
      <c r="O73" s="288"/>
      <c r="P73" s="497"/>
      <c r="T73" s="289">
        <f t="shared" si="10"/>
        <v>0</v>
      </c>
    </row>
    <row r="74" spans="1:20" ht="12">
      <c r="A74" s="13">
        <v>5209</v>
      </c>
      <c r="B74" s="13" t="s">
        <v>77</v>
      </c>
      <c r="C74" s="13" t="s">
        <v>150</v>
      </c>
      <c r="D74" s="36" t="s">
        <v>94</v>
      </c>
      <c r="E74" s="36" t="s">
        <v>79</v>
      </c>
      <c r="F74" s="425">
        <v>23500000</v>
      </c>
      <c r="G74" s="289">
        <v>23500000</v>
      </c>
      <c r="H74" s="11">
        <v>44044</v>
      </c>
      <c r="I74" s="11">
        <f t="shared" si="11"/>
        <v>44079</v>
      </c>
      <c r="J74" s="289">
        <v>23500000</v>
      </c>
      <c r="K74" s="11">
        <v>45290</v>
      </c>
      <c r="L74" s="289">
        <v>23500000</v>
      </c>
      <c r="M74" s="289">
        <f t="shared" si="13"/>
        <v>0</v>
      </c>
      <c r="N74" s="152">
        <v>44356</v>
      </c>
      <c r="O74" s="542" t="s">
        <v>662</v>
      </c>
      <c r="T74" s="289">
        <f t="shared" si="10"/>
        <v>0</v>
      </c>
    </row>
    <row r="75" spans="1:20" ht="12">
      <c r="A75" s="13">
        <v>5212</v>
      </c>
      <c r="B75" s="13" t="s">
        <v>391</v>
      </c>
      <c r="C75" s="13" t="s">
        <v>223</v>
      </c>
      <c r="D75" s="36" t="s">
        <v>618</v>
      </c>
      <c r="E75" s="36" t="s">
        <v>81</v>
      </c>
      <c r="F75" s="425">
        <v>30000000</v>
      </c>
      <c r="G75" s="289">
        <v>30000000</v>
      </c>
      <c r="H75" s="11">
        <v>44044</v>
      </c>
      <c r="I75" s="11">
        <f t="shared" si="11"/>
        <v>44079</v>
      </c>
      <c r="J75" s="289">
        <v>30000000</v>
      </c>
      <c r="K75" s="11">
        <f t="shared" si="12"/>
        <v>44224</v>
      </c>
      <c r="L75" s="354">
        <f>27500000+2500000</f>
        <v>30000000</v>
      </c>
      <c r="M75" s="354">
        <f t="shared" si="13"/>
        <v>0</v>
      </c>
      <c r="N75" s="491">
        <v>44236</v>
      </c>
      <c r="O75" s="288" t="s">
        <v>728</v>
      </c>
      <c r="T75" s="289">
        <f t="shared" si="10"/>
        <v>0</v>
      </c>
    </row>
    <row r="76" spans="1:20" ht="12">
      <c r="A76" s="13">
        <v>5233</v>
      </c>
      <c r="B76" s="13" t="s">
        <v>391</v>
      </c>
      <c r="C76" s="13" t="s">
        <v>141</v>
      </c>
      <c r="D76" s="36" t="s">
        <v>344</v>
      </c>
      <c r="E76" s="36" t="s">
        <v>370</v>
      </c>
      <c r="F76" s="425">
        <v>64819515</v>
      </c>
      <c r="G76" s="289">
        <f>F76</f>
        <v>64819515</v>
      </c>
      <c r="H76" s="11">
        <v>44050</v>
      </c>
      <c r="I76" s="11">
        <f t="shared" si="11"/>
        <v>44085</v>
      </c>
      <c r="J76" s="289">
        <f>G76</f>
        <v>64819515</v>
      </c>
      <c r="K76" s="11">
        <f t="shared" si="12"/>
        <v>44230</v>
      </c>
      <c r="L76" s="289">
        <f>64819000</f>
        <v>64819000</v>
      </c>
      <c r="M76" s="289">
        <f>J76-L76</f>
        <v>515</v>
      </c>
      <c r="N76" s="152">
        <v>44366</v>
      </c>
      <c r="O76" s="288"/>
      <c r="T76" s="289">
        <f t="shared" si="10"/>
        <v>515</v>
      </c>
    </row>
    <row r="77" spans="1:20" ht="12">
      <c r="A77" s="13">
        <v>5235</v>
      </c>
      <c r="B77" s="13" t="s">
        <v>77</v>
      </c>
      <c r="C77" s="13" t="s">
        <v>269</v>
      </c>
      <c r="D77" s="36" t="s">
        <v>94</v>
      </c>
      <c r="E77" s="36" t="s">
        <v>80</v>
      </c>
      <c r="F77" s="289">
        <v>50000000</v>
      </c>
      <c r="G77" s="289">
        <f t="shared" ref="G77:G78" si="14">F77</f>
        <v>50000000</v>
      </c>
      <c r="H77" s="11">
        <v>44050</v>
      </c>
      <c r="I77" s="11">
        <f t="shared" si="11"/>
        <v>44085</v>
      </c>
      <c r="J77" s="289">
        <v>50000000</v>
      </c>
      <c r="K77" s="11">
        <v>45290</v>
      </c>
      <c r="L77" s="354">
        <v>50000000</v>
      </c>
      <c r="M77" s="354">
        <f t="shared" ref="M77:M78" si="15">J77-L77</f>
        <v>0</v>
      </c>
      <c r="N77" s="491">
        <v>44245</v>
      </c>
      <c r="O77" s="288" t="s">
        <v>669</v>
      </c>
      <c r="T77" s="289">
        <f t="shared" si="10"/>
        <v>0</v>
      </c>
    </row>
    <row r="78" spans="1:20" ht="12">
      <c r="A78" s="13">
        <v>5236</v>
      </c>
      <c r="B78" s="13" t="s">
        <v>391</v>
      </c>
      <c r="C78" s="13" t="s">
        <v>141</v>
      </c>
      <c r="D78" s="36" t="s">
        <v>345</v>
      </c>
      <c r="E78" s="36" t="s">
        <v>142</v>
      </c>
      <c r="F78" s="425">
        <v>10000000</v>
      </c>
      <c r="G78" s="289">
        <f t="shared" si="14"/>
        <v>10000000</v>
      </c>
      <c r="H78" s="11">
        <v>44050</v>
      </c>
      <c r="I78" s="11">
        <f t="shared" si="11"/>
        <v>44085</v>
      </c>
      <c r="J78" s="289">
        <v>10000000</v>
      </c>
      <c r="K78" s="11">
        <f t="shared" si="12"/>
        <v>44230</v>
      </c>
      <c r="L78" s="289">
        <f>5250000</f>
        <v>5250000</v>
      </c>
      <c r="M78" s="289">
        <f t="shared" si="15"/>
        <v>4750000</v>
      </c>
      <c r="N78" s="152">
        <v>44366</v>
      </c>
      <c r="O78" s="288"/>
      <c r="T78" s="289">
        <f t="shared" si="10"/>
        <v>4750000</v>
      </c>
    </row>
    <row r="79" spans="1:20" ht="12">
      <c r="A79" s="13">
        <v>5238</v>
      </c>
      <c r="B79" s="13" t="s">
        <v>77</v>
      </c>
      <c r="C79" s="13" t="s">
        <v>143</v>
      </c>
      <c r="D79" s="36" t="s">
        <v>94</v>
      </c>
      <c r="E79" s="36" t="s">
        <v>79</v>
      </c>
      <c r="F79" s="425">
        <v>25000000</v>
      </c>
      <c r="G79" s="289">
        <v>25000000</v>
      </c>
      <c r="H79" s="11">
        <v>44050</v>
      </c>
      <c r="I79" s="11">
        <f t="shared" si="11"/>
        <v>44085</v>
      </c>
      <c r="J79" s="289">
        <v>25000000</v>
      </c>
      <c r="K79" s="11">
        <v>45290</v>
      </c>
      <c r="L79" s="289">
        <v>0</v>
      </c>
      <c r="M79" s="289">
        <f t="shared" si="13"/>
        <v>25000000</v>
      </c>
      <c r="N79" s="152">
        <v>44201</v>
      </c>
      <c r="O79" s="288"/>
      <c r="T79" s="289">
        <f t="shared" si="10"/>
        <v>25000000</v>
      </c>
    </row>
    <row r="80" spans="1:20" ht="12">
      <c r="A80" s="13">
        <v>5239</v>
      </c>
      <c r="B80" s="13" t="s">
        <v>77</v>
      </c>
      <c r="C80" s="13" t="s">
        <v>314</v>
      </c>
      <c r="D80" s="36" t="s">
        <v>94</v>
      </c>
      <c r="E80" s="36" t="s">
        <v>280</v>
      </c>
      <c r="F80" s="425">
        <v>50000000</v>
      </c>
      <c r="G80" s="289">
        <v>50000000</v>
      </c>
      <c r="H80" s="11">
        <v>44050</v>
      </c>
      <c r="I80" s="11">
        <f t="shared" si="11"/>
        <v>44085</v>
      </c>
      <c r="J80" s="289">
        <v>50000000</v>
      </c>
      <c r="K80" s="11">
        <v>45290</v>
      </c>
      <c r="L80" s="289">
        <v>50000000</v>
      </c>
      <c r="M80" s="289">
        <f t="shared" si="13"/>
        <v>0</v>
      </c>
      <c r="N80" s="152">
        <v>44365</v>
      </c>
      <c r="O80" s="1" t="s">
        <v>778</v>
      </c>
      <c r="T80" s="289">
        <f t="shared" si="10"/>
        <v>0</v>
      </c>
    </row>
    <row r="81" spans="1:20" ht="12">
      <c r="A81" s="13">
        <v>5240</v>
      </c>
      <c r="B81" s="13" t="s">
        <v>77</v>
      </c>
      <c r="C81" s="13" t="s">
        <v>269</v>
      </c>
      <c r="D81" s="36" t="s">
        <v>94</v>
      </c>
      <c r="E81" s="36" t="s">
        <v>80</v>
      </c>
      <c r="F81" s="289">
        <v>50000000</v>
      </c>
      <c r="G81" s="289">
        <v>50000000</v>
      </c>
      <c r="H81" s="11">
        <v>44054</v>
      </c>
      <c r="I81" s="11">
        <f t="shared" si="11"/>
        <v>44089</v>
      </c>
      <c r="J81" s="289">
        <v>50000000</v>
      </c>
      <c r="K81" s="11">
        <v>45290</v>
      </c>
      <c r="L81" s="354">
        <f>35000000+15000000</f>
        <v>50000000</v>
      </c>
      <c r="M81" s="354">
        <f t="shared" si="13"/>
        <v>0</v>
      </c>
      <c r="N81" s="491">
        <v>44356</v>
      </c>
      <c r="O81" s="288" t="s">
        <v>765</v>
      </c>
      <c r="T81" s="289">
        <f t="shared" si="10"/>
        <v>0</v>
      </c>
    </row>
    <row r="82" spans="1:20" ht="12">
      <c r="A82" s="13">
        <v>5243</v>
      </c>
      <c r="B82" s="13" t="s">
        <v>77</v>
      </c>
      <c r="C82" s="13" t="s">
        <v>282</v>
      </c>
      <c r="D82" s="36" t="s">
        <v>94</v>
      </c>
      <c r="E82" s="36" t="s">
        <v>78</v>
      </c>
      <c r="F82" s="425">
        <v>50000000</v>
      </c>
      <c r="G82" s="289">
        <v>50000000</v>
      </c>
      <c r="H82" s="11">
        <v>44056</v>
      </c>
      <c r="I82" s="11">
        <f t="shared" si="11"/>
        <v>44091</v>
      </c>
      <c r="J82" s="289">
        <v>50000000</v>
      </c>
      <c r="K82" s="11">
        <v>45290</v>
      </c>
      <c r="L82" s="289">
        <v>45600000</v>
      </c>
      <c r="M82" s="289">
        <f t="shared" si="13"/>
        <v>4400000</v>
      </c>
      <c r="N82" s="152">
        <v>44323</v>
      </c>
      <c r="O82" s="1" t="s">
        <v>740</v>
      </c>
      <c r="T82" s="289">
        <f t="shared" si="10"/>
        <v>4400000</v>
      </c>
    </row>
    <row r="83" spans="1:20" ht="12">
      <c r="A83" s="13">
        <v>5244</v>
      </c>
      <c r="B83" s="13" t="s">
        <v>77</v>
      </c>
      <c r="C83" s="13" t="s">
        <v>76</v>
      </c>
      <c r="D83" s="36" t="s">
        <v>94</v>
      </c>
      <c r="E83" s="13" t="s">
        <v>79</v>
      </c>
      <c r="F83" s="289">
        <v>27500000</v>
      </c>
      <c r="G83" s="289">
        <v>27500000</v>
      </c>
      <c r="H83" s="11">
        <v>44056</v>
      </c>
      <c r="I83" s="11">
        <f t="shared" si="11"/>
        <v>44091</v>
      </c>
      <c r="J83" s="289">
        <v>27500000</v>
      </c>
      <c r="K83" s="11">
        <v>45290</v>
      </c>
      <c r="L83" s="354">
        <v>27500000</v>
      </c>
      <c r="M83" s="354">
        <f t="shared" si="13"/>
        <v>0</v>
      </c>
      <c r="N83" s="491">
        <v>44323</v>
      </c>
      <c r="O83" s="288" t="s">
        <v>745</v>
      </c>
      <c r="T83" s="289">
        <f t="shared" si="10"/>
        <v>0</v>
      </c>
    </row>
    <row r="84" spans="1:20" ht="12">
      <c r="A84" s="13">
        <v>5245</v>
      </c>
      <c r="B84" s="13" t="s">
        <v>77</v>
      </c>
      <c r="C84" s="13" t="s">
        <v>76</v>
      </c>
      <c r="D84" s="36" t="s">
        <v>94</v>
      </c>
      <c r="E84" s="13" t="s">
        <v>388</v>
      </c>
      <c r="F84" s="289">
        <v>12000000</v>
      </c>
      <c r="G84" s="289">
        <v>12000000</v>
      </c>
      <c r="H84" s="11">
        <v>44056</v>
      </c>
      <c r="I84" s="11">
        <f t="shared" si="11"/>
        <v>44091</v>
      </c>
      <c r="J84" s="289">
        <v>12000000</v>
      </c>
      <c r="K84" s="11">
        <v>45290</v>
      </c>
      <c r="L84" s="354">
        <v>950000</v>
      </c>
      <c r="M84" s="354">
        <f t="shared" si="13"/>
        <v>11050000</v>
      </c>
      <c r="N84" s="491">
        <v>44323</v>
      </c>
      <c r="O84" s="288" t="s">
        <v>747</v>
      </c>
      <c r="T84" s="289">
        <f t="shared" si="10"/>
        <v>11050000</v>
      </c>
    </row>
    <row r="85" spans="1:20" ht="12">
      <c r="A85" s="13">
        <v>5246</v>
      </c>
      <c r="B85" s="13" t="s">
        <v>77</v>
      </c>
      <c r="C85" s="13" t="s">
        <v>76</v>
      </c>
      <c r="D85" s="36" t="s">
        <v>94</v>
      </c>
      <c r="E85" s="13" t="s">
        <v>80</v>
      </c>
      <c r="F85" s="289">
        <v>20000000</v>
      </c>
      <c r="G85" s="289">
        <v>20000000</v>
      </c>
      <c r="H85" s="11">
        <v>44056</v>
      </c>
      <c r="I85" s="11">
        <f t="shared" si="11"/>
        <v>44091</v>
      </c>
      <c r="J85" s="289">
        <v>20000000</v>
      </c>
      <c r="K85" s="11">
        <v>45290</v>
      </c>
      <c r="L85" s="354">
        <v>20000000</v>
      </c>
      <c r="M85" s="354">
        <f t="shared" si="13"/>
        <v>0</v>
      </c>
      <c r="N85" s="491">
        <v>44330</v>
      </c>
      <c r="O85" s="288" t="s">
        <v>754</v>
      </c>
      <c r="T85" s="289">
        <f t="shared" si="10"/>
        <v>0</v>
      </c>
    </row>
    <row r="86" spans="1:20" ht="12">
      <c r="A86" s="13">
        <v>5247</v>
      </c>
      <c r="B86" s="13" t="s">
        <v>77</v>
      </c>
      <c r="C86" s="13" t="s">
        <v>97</v>
      </c>
      <c r="D86" s="36" t="s">
        <v>94</v>
      </c>
      <c r="E86" s="36" t="s">
        <v>95</v>
      </c>
      <c r="F86" s="425">
        <v>25000000</v>
      </c>
      <c r="G86" s="67">
        <f>F86</f>
        <v>25000000</v>
      </c>
      <c r="H86" s="359">
        <v>44063</v>
      </c>
      <c r="I86" s="11">
        <f t="shared" si="11"/>
        <v>44098</v>
      </c>
      <c r="J86" s="289">
        <v>25000000</v>
      </c>
      <c r="K86" s="11">
        <v>45290</v>
      </c>
      <c r="L86" s="354">
        <v>25000000</v>
      </c>
      <c r="M86" s="354">
        <f t="shared" si="13"/>
        <v>0</v>
      </c>
      <c r="N86" s="491">
        <v>44223</v>
      </c>
      <c r="O86" s="288" t="s">
        <v>658</v>
      </c>
      <c r="T86" s="289">
        <f t="shared" si="10"/>
        <v>0</v>
      </c>
    </row>
    <row r="87" spans="1:20" ht="12">
      <c r="A87" s="13">
        <v>5248</v>
      </c>
      <c r="B87" s="13" t="s">
        <v>391</v>
      </c>
      <c r="C87" s="13" t="s">
        <v>266</v>
      </c>
      <c r="D87" s="36" t="s">
        <v>393</v>
      </c>
      <c r="E87" s="36" t="s">
        <v>78</v>
      </c>
      <c r="F87" s="425">
        <v>18000000</v>
      </c>
      <c r="G87" s="67">
        <v>18000000</v>
      </c>
      <c r="H87" s="359">
        <v>44063</v>
      </c>
      <c r="I87" s="11">
        <f t="shared" si="11"/>
        <v>44098</v>
      </c>
      <c r="J87" s="289">
        <v>18000000</v>
      </c>
      <c r="K87" s="11">
        <f t="shared" si="12"/>
        <v>44243</v>
      </c>
      <c r="L87" s="289">
        <v>18000000</v>
      </c>
      <c r="M87" s="289">
        <f t="shared" si="13"/>
        <v>0</v>
      </c>
      <c r="N87" s="152">
        <v>44250</v>
      </c>
      <c r="O87" s="288"/>
      <c r="T87" s="289">
        <f t="shared" si="10"/>
        <v>0</v>
      </c>
    </row>
    <row r="88" spans="1:20" s="429" customFormat="1" ht="12">
      <c r="A88" s="501">
        <v>5249</v>
      </c>
      <c r="B88" s="501" t="s">
        <v>391</v>
      </c>
      <c r="C88" s="501" t="s">
        <v>268</v>
      </c>
      <c r="D88" s="502" t="s">
        <v>339</v>
      </c>
      <c r="E88" s="502" t="s">
        <v>336</v>
      </c>
      <c r="F88" s="504">
        <v>30000000</v>
      </c>
      <c r="G88" s="511">
        <f t="shared" ref="G88:G93" si="16">F88</f>
        <v>30000000</v>
      </c>
      <c r="H88" s="505">
        <v>44063</v>
      </c>
      <c r="I88" s="506">
        <f t="shared" si="11"/>
        <v>44098</v>
      </c>
      <c r="J88" s="507">
        <f>30000000-18910000</f>
        <v>11090000</v>
      </c>
      <c r="K88" s="506">
        <f t="shared" si="12"/>
        <v>44243</v>
      </c>
      <c r="L88" s="507">
        <v>7090000</v>
      </c>
      <c r="M88" s="507">
        <f t="shared" si="13"/>
        <v>4000000</v>
      </c>
      <c r="N88" s="434">
        <v>43881</v>
      </c>
      <c r="O88" s="479" t="s">
        <v>673</v>
      </c>
      <c r="T88" s="507">
        <f>M88-18910000</f>
        <v>-14910000</v>
      </c>
    </row>
    <row r="89" spans="1:20" ht="12">
      <c r="A89" s="13">
        <v>5251</v>
      </c>
      <c r="B89" s="13" t="s">
        <v>391</v>
      </c>
      <c r="C89" s="13" t="s">
        <v>266</v>
      </c>
      <c r="D89" s="36" t="s">
        <v>331</v>
      </c>
      <c r="E89" s="36" t="s">
        <v>78</v>
      </c>
      <c r="F89" s="425">
        <v>30000000</v>
      </c>
      <c r="G89" s="67">
        <f t="shared" si="16"/>
        <v>30000000</v>
      </c>
      <c r="H89" s="359">
        <v>44063</v>
      </c>
      <c r="I89" s="11">
        <f t="shared" si="11"/>
        <v>44098</v>
      </c>
      <c r="J89" s="289">
        <v>30000000</v>
      </c>
      <c r="K89" s="11">
        <f t="shared" si="12"/>
        <v>44243</v>
      </c>
      <c r="L89" s="289">
        <v>30000000</v>
      </c>
      <c r="M89" s="289">
        <f t="shared" si="13"/>
        <v>0</v>
      </c>
      <c r="N89" s="152">
        <v>44252</v>
      </c>
      <c r="O89" s="288"/>
      <c r="T89" s="289">
        <f t="shared" si="10"/>
        <v>0</v>
      </c>
    </row>
    <row r="90" spans="1:20" ht="12">
      <c r="A90" s="13">
        <v>5252</v>
      </c>
      <c r="B90" s="13" t="s">
        <v>77</v>
      </c>
      <c r="C90" s="13" t="s">
        <v>98</v>
      </c>
      <c r="D90" s="36" t="s">
        <v>94</v>
      </c>
      <c r="E90" s="36" t="s">
        <v>79</v>
      </c>
      <c r="F90" s="425">
        <v>45000000</v>
      </c>
      <c r="G90" s="67">
        <f t="shared" si="16"/>
        <v>45000000</v>
      </c>
      <c r="H90" s="359">
        <v>44063</v>
      </c>
      <c r="I90" s="11">
        <f t="shared" si="11"/>
        <v>44098</v>
      </c>
      <c r="J90" s="289">
        <v>45000000</v>
      </c>
      <c r="K90" s="11">
        <v>45290</v>
      </c>
      <c r="L90" s="289">
        <v>0</v>
      </c>
      <c r="M90" s="289">
        <f t="shared" si="13"/>
        <v>45000000</v>
      </c>
      <c r="N90" s="152">
        <v>44281</v>
      </c>
      <c r="O90" s="288"/>
      <c r="T90" s="289">
        <f t="shared" si="10"/>
        <v>45000000</v>
      </c>
    </row>
    <row r="91" spans="1:20" ht="12">
      <c r="A91" s="13">
        <v>5253</v>
      </c>
      <c r="B91" s="13" t="s">
        <v>77</v>
      </c>
      <c r="C91" s="13" t="s">
        <v>98</v>
      </c>
      <c r="D91" s="36" t="s">
        <v>94</v>
      </c>
      <c r="E91" s="36" t="s">
        <v>79</v>
      </c>
      <c r="F91" s="425">
        <v>40000000</v>
      </c>
      <c r="G91" s="67">
        <f t="shared" si="16"/>
        <v>40000000</v>
      </c>
      <c r="H91" s="359">
        <v>44063</v>
      </c>
      <c r="I91" s="11">
        <f t="shared" si="11"/>
        <v>44098</v>
      </c>
      <c r="J91" s="289">
        <v>40000000</v>
      </c>
      <c r="K91" s="11">
        <v>45290</v>
      </c>
      <c r="L91" s="289">
        <v>0</v>
      </c>
      <c r="M91" s="289">
        <f t="shared" si="13"/>
        <v>40000000</v>
      </c>
      <c r="N91" s="152">
        <v>44365</v>
      </c>
      <c r="O91" s="288"/>
      <c r="T91" s="289">
        <f t="shared" si="10"/>
        <v>40000000</v>
      </c>
    </row>
    <row r="92" spans="1:20" ht="12">
      <c r="A92" s="13">
        <v>5254</v>
      </c>
      <c r="B92" s="13" t="s">
        <v>77</v>
      </c>
      <c r="C92" s="13" t="s">
        <v>221</v>
      </c>
      <c r="D92" s="36" t="s">
        <v>94</v>
      </c>
      <c r="E92" s="36" t="s">
        <v>79</v>
      </c>
      <c r="F92" s="425">
        <v>50000000</v>
      </c>
      <c r="G92" s="67">
        <f t="shared" si="16"/>
        <v>50000000</v>
      </c>
      <c r="H92" s="359">
        <v>44063</v>
      </c>
      <c r="I92" s="11">
        <f t="shared" si="11"/>
        <v>44098</v>
      </c>
      <c r="J92" s="289">
        <v>50000000</v>
      </c>
      <c r="K92" s="11">
        <v>45290</v>
      </c>
      <c r="L92" s="289">
        <v>0</v>
      </c>
      <c r="M92" s="289">
        <f t="shared" si="13"/>
        <v>50000000</v>
      </c>
      <c r="N92" s="152">
        <v>44281</v>
      </c>
      <c r="O92" s="288"/>
      <c r="T92" s="289">
        <f t="shared" si="10"/>
        <v>50000000</v>
      </c>
    </row>
    <row r="93" spans="1:20" ht="12">
      <c r="A93" s="13">
        <v>5255</v>
      </c>
      <c r="B93" s="13" t="s">
        <v>77</v>
      </c>
      <c r="C93" s="13" t="s">
        <v>221</v>
      </c>
      <c r="D93" s="36" t="s">
        <v>94</v>
      </c>
      <c r="E93" s="36" t="s">
        <v>79</v>
      </c>
      <c r="F93" s="425">
        <v>50000000</v>
      </c>
      <c r="G93" s="67">
        <f t="shared" si="16"/>
        <v>50000000</v>
      </c>
      <c r="H93" s="359">
        <v>44063</v>
      </c>
      <c r="I93" s="11">
        <f t="shared" si="11"/>
        <v>44098</v>
      </c>
      <c r="J93" s="289">
        <v>50000000</v>
      </c>
      <c r="K93" s="11">
        <v>45290</v>
      </c>
      <c r="L93" s="289">
        <v>0</v>
      </c>
      <c r="M93" s="289">
        <f t="shared" si="13"/>
        <v>50000000</v>
      </c>
      <c r="N93" s="152">
        <v>44244</v>
      </c>
      <c r="O93" s="288"/>
      <c r="T93" s="289">
        <f t="shared" si="10"/>
        <v>50000000</v>
      </c>
    </row>
    <row r="94" spans="1:20" ht="12">
      <c r="A94" s="13">
        <v>5259</v>
      </c>
      <c r="B94" s="13" t="s">
        <v>77</v>
      </c>
      <c r="C94" s="13" t="s">
        <v>282</v>
      </c>
      <c r="D94" s="36" t="s">
        <v>94</v>
      </c>
      <c r="E94" s="36" t="s">
        <v>78</v>
      </c>
      <c r="F94" s="425">
        <v>35000000</v>
      </c>
      <c r="G94" s="425">
        <v>35000000</v>
      </c>
      <c r="H94" s="359">
        <v>44082</v>
      </c>
      <c r="I94" s="11">
        <f t="shared" si="11"/>
        <v>44117</v>
      </c>
      <c r="J94" s="289">
        <v>35000000</v>
      </c>
      <c r="K94" s="11">
        <v>45290</v>
      </c>
      <c r="L94" s="354">
        <v>35000000</v>
      </c>
      <c r="M94" s="354">
        <f t="shared" si="13"/>
        <v>0</v>
      </c>
      <c r="N94" s="491">
        <v>44238</v>
      </c>
      <c r="O94" s="288" t="s">
        <v>664</v>
      </c>
      <c r="T94" s="289">
        <f t="shared" si="10"/>
        <v>0</v>
      </c>
    </row>
    <row r="95" spans="1:20" ht="12">
      <c r="A95" s="13">
        <v>5263</v>
      </c>
      <c r="B95" s="13" t="s">
        <v>391</v>
      </c>
      <c r="C95" s="13" t="s">
        <v>153</v>
      </c>
      <c r="D95" s="36" t="s">
        <v>403</v>
      </c>
      <c r="E95" s="36" t="s">
        <v>81</v>
      </c>
      <c r="F95" s="425">
        <v>40000000</v>
      </c>
      <c r="G95" s="425">
        <v>40000000</v>
      </c>
      <c r="H95" s="359">
        <v>44135</v>
      </c>
      <c r="I95" s="11">
        <f t="shared" si="11"/>
        <v>44170</v>
      </c>
      <c r="J95" s="289">
        <v>40000000</v>
      </c>
      <c r="K95" s="11">
        <f t="shared" si="12"/>
        <v>44315</v>
      </c>
      <c r="L95" s="354">
        <f>34000000+6000000</f>
        <v>40000000</v>
      </c>
      <c r="M95" s="354">
        <f t="shared" si="13"/>
        <v>0</v>
      </c>
      <c r="N95" s="491">
        <v>44314</v>
      </c>
      <c r="O95" s="288" t="s">
        <v>732</v>
      </c>
      <c r="T95" s="289">
        <f t="shared" si="10"/>
        <v>0</v>
      </c>
    </row>
    <row r="96" spans="1:20" s="429" customFormat="1" ht="12">
      <c r="A96" s="501">
        <v>5264</v>
      </c>
      <c r="B96" s="501" t="s">
        <v>77</v>
      </c>
      <c r="C96" s="501" t="s">
        <v>161</v>
      </c>
      <c r="D96" s="502" t="s">
        <v>438</v>
      </c>
      <c r="E96" s="502" t="s">
        <v>80</v>
      </c>
      <c r="F96" s="504">
        <v>35000000</v>
      </c>
      <c r="G96" s="504">
        <v>35000000</v>
      </c>
      <c r="H96" s="505">
        <v>44142</v>
      </c>
      <c r="I96" s="506">
        <f t="shared" si="11"/>
        <v>44177</v>
      </c>
      <c r="J96" s="504">
        <v>0</v>
      </c>
      <c r="K96" s="506">
        <f t="shared" si="12"/>
        <v>44322</v>
      </c>
      <c r="L96" s="507">
        <v>0</v>
      </c>
      <c r="M96" s="507">
        <f t="shared" si="13"/>
        <v>0</v>
      </c>
      <c r="N96" s="434">
        <v>44317</v>
      </c>
      <c r="O96" s="479" t="s">
        <v>735</v>
      </c>
      <c r="T96" s="507">
        <v>0</v>
      </c>
    </row>
    <row r="97" spans="1:20" s="429" customFormat="1" ht="12">
      <c r="A97" s="501">
        <v>5266</v>
      </c>
      <c r="B97" s="501" t="s">
        <v>77</v>
      </c>
      <c r="C97" s="501" t="s">
        <v>234</v>
      </c>
      <c r="D97" s="502" t="s">
        <v>439</v>
      </c>
      <c r="E97" s="502" t="s">
        <v>95</v>
      </c>
      <c r="F97" s="504">
        <v>52000000</v>
      </c>
      <c r="G97" s="504">
        <f>F97</f>
        <v>52000000</v>
      </c>
      <c r="H97" s="505">
        <v>44146</v>
      </c>
      <c r="I97" s="506">
        <f t="shared" si="11"/>
        <v>44181</v>
      </c>
      <c r="J97" s="504">
        <v>0</v>
      </c>
      <c r="K97" s="506">
        <f t="shared" si="12"/>
        <v>44326</v>
      </c>
      <c r="L97" s="507">
        <v>0</v>
      </c>
      <c r="M97" s="507">
        <f t="shared" si="13"/>
        <v>0</v>
      </c>
      <c r="N97" s="434">
        <v>44322</v>
      </c>
      <c r="O97" s="479" t="s">
        <v>738</v>
      </c>
      <c r="T97" s="507">
        <v>0</v>
      </c>
    </row>
    <row r="98" spans="1:20" s="186" customFormat="1" ht="12">
      <c r="A98" s="13"/>
      <c r="B98" s="13"/>
      <c r="C98" s="13"/>
      <c r="D98" s="36"/>
      <c r="E98" s="36"/>
      <c r="F98" s="289"/>
      <c r="G98" s="124"/>
      <c r="H98" s="7"/>
      <c r="I98" s="184"/>
      <c r="J98" s="124"/>
      <c r="K98" s="184"/>
      <c r="L98" s="32"/>
      <c r="M98" s="124"/>
      <c r="N98" s="184"/>
      <c r="T98" s="62"/>
    </row>
    <row r="99" spans="1:20" ht="12">
      <c r="A99" s="5"/>
      <c r="B99" s="5"/>
      <c r="C99" s="5"/>
      <c r="D99" s="26"/>
      <c r="E99" s="26"/>
      <c r="F99" s="349"/>
      <c r="G99" s="71">
        <f>G96*0.00025/3*2</f>
        <v>5833.333333333333</v>
      </c>
      <c r="H99" s="3"/>
      <c r="I99" s="3"/>
      <c r="J99" s="77">
        <f>SUM(J70:J98)</f>
        <v>940009515</v>
      </c>
      <c r="K99" s="7"/>
      <c r="L99" s="77">
        <f t="shared" ref="L99:M99" si="17">SUM(L70:L98)</f>
        <v>595809000</v>
      </c>
      <c r="M99" s="77">
        <f t="shared" si="17"/>
        <v>344200515</v>
      </c>
      <c r="N99" s="152"/>
      <c r="T99" s="77">
        <f>SUM(T70:T98)</f>
        <v>325290515</v>
      </c>
    </row>
    <row r="100" spans="1:20" ht="12.6" thickBot="1">
      <c r="F100" s="185"/>
      <c r="G100" s="185"/>
      <c r="H100" s="185"/>
      <c r="I100" s="185"/>
      <c r="J100" s="508"/>
      <c r="K100" s="185"/>
      <c r="L100" s="494"/>
      <c r="N100" s="152"/>
    </row>
    <row r="101" spans="1:20" ht="12">
      <c r="A101" s="169" t="s">
        <v>60</v>
      </c>
      <c r="F101" s="185"/>
      <c r="G101" s="188"/>
      <c r="H101" s="152"/>
      <c r="I101" s="185"/>
      <c r="J101" s="185"/>
      <c r="K101" s="185"/>
      <c r="N101" s="152"/>
    </row>
    <row r="102" spans="1:20" ht="12">
      <c r="A102" s="13">
        <v>5268</v>
      </c>
      <c r="B102" s="13" t="s">
        <v>77</v>
      </c>
      <c r="C102" s="13" t="s">
        <v>83</v>
      </c>
      <c r="D102" s="36" t="s">
        <v>727</v>
      </c>
      <c r="E102" s="36" t="s">
        <v>82</v>
      </c>
      <c r="F102" s="528">
        <v>99275400.870000005</v>
      </c>
      <c r="G102" s="528">
        <f>F102</f>
        <v>99275400.870000005</v>
      </c>
      <c r="H102" s="359">
        <v>44149</v>
      </c>
      <c r="I102" s="11">
        <f t="shared" ref="I102" si="18">H102+35</f>
        <v>44184</v>
      </c>
      <c r="J102" s="289">
        <v>99275000</v>
      </c>
      <c r="K102" s="11">
        <f>H102+150</f>
        <v>44299</v>
      </c>
      <c r="L102" s="354">
        <v>25000000</v>
      </c>
      <c r="M102" s="354">
        <f>J102-L102</f>
        <v>74275000</v>
      </c>
      <c r="N102" s="491">
        <v>44336</v>
      </c>
      <c r="O102" s="288" t="s">
        <v>757</v>
      </c>
      <c r="T102" s="289">
        <f>M102</f>
        <v>74275000</v>
      </c>
    </row>
    <row r="103" spans="1:20" ht="12">
      <c r="N103" s="152"/>
    </row>
    <row r="104" spans="1:20" ht="12">
      <c r="I104" s="198"/>
      <c r="J104" s="346">
        <f>SUM(J102:J103)</f>
        <v>99275000</v>
      </c>
      <c r="K104" s="186"/>
      <c r="L104" s="77">
        <f>SUM(L102:L103)</f>
        <v>25000000</v>
      </c>
      <c r="M104" s="77">
        <f>SUM(M102:M103)</f>
        <v>74275000</v>
      </c>
      <c r="N104" s="152"/>
      <c r="T104" s="77">
        <f>SUM(T102:T103)</f>
        <v>74275000</v>
      </c>
    </row>
    <row r="105" spans="1:20" ht="12">
      <c r="I105" s="198"/>
      <c r="N105" s="152"/>
    </row>
    <row r="107" spans="1:20" ht="12.6" thickBot="1">
      <c r="J107" s="347">
        <f>F31+J67+J99+J104</f>
        <v>2102790797</v>
      </c>
      <c r="M107" s="347">
        <f>M104+M99+M67+G28</f>
        <v>1959616866.6700001</v>
      </c>
      <c r="O107" s="265"/>
      <c r="P107" s="265"/>
      <c r="Q107" s="265"/>
      <c r="R107" s="265"/>
      <c r="T107" s="345">
        <f>T104+T99+T67+G28</f>
        <v>1940706866.6700001</v>
      </c>
    </row>
    <row r="108" spans="1:20" ht="12" thickTop="1">
      <c r="M108" s="198"/>
      <c r="T108" s="198"/>
    </row>
    <row r="109" spans="1:20">
      <c r="J109" s="400"/>
      <c r="M109" s="198"/>
    </row>
    <row r="110" spans="1:20">
      <c r="H110" s="200"/>
      <c r="J110" s="400"/>
    </row>
    <row r="111" spans="1:20">
      <c r="H111" s="200"/>
      <c r="L111" s="400"/>
    </row>
    <row r="112" spans="1:20" ht="12">
      <c r="A112" s="13"/>
      <c r="B112" s="13"/>
      <c r="C112" s="13"/>
      <c r="D112" s="36"/>
      <c r="E112" s="36"/>
      <c r="F112" s="425"/>
      <c r="G112" s="289"/>
      <c r="H112" s="11"/>
      <c r="I112" s="11"/>
      <c r="J112" s="350"/>
      <c r="K112" s="11"/>
      <c r="L112" s="400"/>
    </row>
    <row r="113" spans="10:12">
      <c r="J113" s="366"/>
      <c r="K113" s="200"/>
      <c r="L113" s="259"/>
    </row>
    <row r="114" spans="10:12">
      <c r="J114" s="456"/>
    </row>
    <row r="115" spans="10:12">
      <c r="J115" s="456"/>
      <c r="L115" s="494"/>
    </row>
  </sheetData>
  <phoneticPr fontId="3" type="noConversion"/>
  <pageMargins left="0.7" right="0.7" top="0.75" bottom="0.75" header="0.3" footer="0.3"/>
  <pageSetup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Sheet27"/>
  <dimension ref="A1:Z108"/>
  <sheetViews>
    <sheetView workbookViewId="0">
      <pane xSplit="1" ySplit="2" topLeftCell="B3" activePane="bottomRight" state="frozen"/>
      <selection activeCell="M43" sqref="M43"/>
      <selection pane="topRight" activeCell="M43" sqref="M43"/>
      <selection pane="bottomLeft" activeCell="M43" sqref="M43"/>
      <selection pane="bottomRight"/>
    </sheetView>
  </sheetViews>
  <sheetFormatPr defaultColWidth="9" defaultRowHeight="11.4"/>
  <cols>
    <col min="1" max="1" width="24" bestFit="1" customWidth="1"/>
    <col min="2" max="6" width="24" customWidth="1"/>
    <col min="7" max="7" width="18" customWidth="1"/>
    <col min="8" max="8" width="15.125" bestFit="1" customWidth="1"/>
    <col min="9" max="9" width="15.125" customWidth="1"/>
    <col min="10" max="11" width="15.625" bestFit="1" customWidth="1"/>
    <col min="12" max="12" width="15.75" customWidth="1"/>
    <col min="13" max="14" width="15.125" bestFit="1" customWidth="1"/>
    <col min="15" max="17" width="17.375" bestFit="1" customWidth="1"/>
    <col min="18" max="24" width="15.125" bestFit="1" customWidth="1"/>
    <col min="25" max="26" width="12.875" bestFit="1" customWidth="1"/>
  </cols>
  <sheetData>
    <row r="1" spans="1:26">
      <c r="B1" s="5">
        <v>2025</v>
      </c>
      <c r="C1" s="5">
        <v>2024</v>
      </c>
      <c r="D1" s="5">
        <v>2023</v>
      </c>
      <c r="E1" s="5">
        <v>2022</v>
      </c>
      <c r="F1" s="5">
        <v>2021</v>
      </c>
      <c r="G1" s="5">
        <v>2020</v>
      </c>
      <c r="H1" s="5">
        <v>2019</v>
      </c>
      <c r="I1" s="5">
        <v>2018</v>
      </c>
      <c r="J1" s="5">
        <v>2017</v>
      </c>
      <c r="K1" s="5">
        <v>2016</v>
      </c>
      <c r="L1" s="5">
        <v>2015</v>
      </c>
      <c r="M1" s="5">
        <v>2014</v>
      </c>
      <c r="N1" s="5">
        <v>2013</v>
      </c>
      <c r="O1" s="5">
        <v>2012</v>
      </c>
      <c r="P1" s="5">
        <v>2011</v>
      </c>
      <c r="Q1" s="5">
        <v>2010</v>
      </c>
      <c r="R1" s="212">
        <v>2009</v>
      </c>
      <c r="S1" s="212">
        <v>2008</v>
      </c>
      <c r="T1" s="212">
        <v>2007</v>
      </c>
      <c r="U1" s="212">
        <v>2006</v>
      </c>
      <c r="V1" s="212">
        <v>2005</v>
      </c>
      <c r="W1" s="212">
        <v>2004</v>
      </c>
      <c r="X1" s="212">
        <v>2003</v>
      </c>
      <c r="Y1" s="212" t="s">
        <v>129</v>
      </c>
      <c r="Z1" s="212" t="s">
        <v>130</v>
      </c>
    </row>
    <row r="2" spans="1:26" ht="12" thickBot="1">
      <c r="B2" s="5" t="s">
        <v>99</v>
      </c>
      <c r="C2" s="5" t="s">
        <v>99</v>
      </c>
      <c r="D2" s="5" t="s">
        <v>99</v>
      </c>
      <c r="E2" s="5" t="s">
        <v>99</v>
      </c>
      <c r="F2" s="5" t="s">
        <v>99</v>
      </c>
      <c r="G2" s="5" t="s">
        <v>99</v>
      </c>
      <c r="H2" s="5" t="s">
        <v>99</v>
      </c>
      <c r="I2" s="5" t="s">
        <v>99</v>
      </c>
      <c r="J2" s="5" t="s">
        <v>99</v>
      </c>
      <c r="K2" s="5" t="s">
        <v>99</v>
      </c>
      <c r="L2" s="5" t="s">
        <v>99</v>
      </c>
      <c r="M2" s="5" t="s">
        <v>99</v>
      </c>
      <c r="N2" s="5" t="s">
        <v>99</v>
      </c>
      <c r="O2" s="5" t="s">
        <v>99</v>
      </c>
      <c r="P2" s="5" t="s">
        <v>99</v>
      </c>
      <c r="Q2" s="5" t="s">
        <v>99</v>
      </c>
      <c r="R2" s="213" t="s">
        <v>99</v>
      </c>
      <c r="S2" s="213" t="s">
        <v>99</v>
      </c>
      <c r="T2" s="69" t="s">
        <v>99</v>
      </c>
      <c r="U2" s="213" t="s">
        <v>99</v>
      </c>
      <c r="V2" s="213" t="s">
        <v>99</v>
      </c>
      <c r="W2" s="213" t="s">
        <v>99</v>
      </c>
      <c r="X2" s="213" t="s">
        <v>99</v>
      </c>
    </row>
    <row r="3" spans="1:26" ht="12">
      <c r="A3" s="214" t="s">
        <v>100</v>
      </c>
      <c r="B3" s="215">
        <f>Totals!B8</f>
        <v>4067808030</v>
      </c>
      <c r="C3" s="215">
        <v>3812912625</v>
      </c>
      <c r="D3" s="215">
        <v>3603548640</v>
      </c>
      <c r="E3" s="215">
        <v>3248073510</v>
      </c>
      <c r="F3" s="215">
        <v>3229683490</v>
      </c>
      <c r="G3" s="215">
        <v>3044567505</v>
      </c>
      <c r="H3" s="215">
        <v>3013693725</v>
      </c>
      <c r="I3" s="215">
        <v>2971982580</v>
      </c>
      <c r="J3" s="215">
        <v>2786259600</v>
      </c>
      <c r="K3" s="216">
        <v>2746911400</v>
      </c>
      <c r="L3" s="216">
        <v>2695695800</v>
      </c>
      <c r="M3" s="217">
        <v>2644819300</v>
      </c>
      <c r="N3" s="216">
        <v>2475624285</v>
      </c>
      <c r="O3" s="218">
        <v>2439094695</v>
      </c>
      <c r="P3" s="218">
        <v>2388828295</v>
      </c>
      <c r="Q3" s="219">
        <v>2230407180</v>
      </c>
      <c r="R3" s="215">
        <v>2189427660</v>
      </c>
      <c r="S3" s="215">
        <v>2031872300</v>
      </c>
      <c r="T3" s="220">
        <v>1998161555</v>
      </c>
      <c r="U3" s="129">
        <v>1828797440</v>
      </c>
      <c r="V3" s="221">
        <v>1799201760</v>
      </c>
      <c r="W3" s="221">
        <v>1769480721</v>
      </c>
      <c r="X3" s="222">
        <v>1633491975</v>
      </c>
      <c r="Y3" s="129">
        <v>1599376350</v>
      </c>
      <c r="Z3" s="223">
        <v>1303238750</v>
      </c>
    </row>
    <row r="4" spans="1:26" ht="12">
      <c r="A4" s="224" t="s">
        <v>101</v>
      </c>
      <c r="B4" s="96">
        <f>SUM(C49:C52)</f>
        <v>3743195697.0599995</v>
      </c>
      <c r="C4" s="96">
        <v>2792224621.5299997</v>
      </c>
      <c r="D4" s="96">
        <v>2700914810.6500001</v>
      </c>
      <c r="E4" s="96">
        <v>2686322327.4000001</v>
      </c>
      <c r="F4" s="96">
        <v>2978059429.2000003</v>
      </c>
      <c r="G4" s="96">
        <v>3375990905.0444999</v>
      </c>
      <c r="H4" s="96">
        <v>3859636297.79</v>
      </c>
      <c r="I4" s="96">
        <v>3309406951.9200001</v>
      </c>
      <c r="J4" s="96">
        <v>4848200159.04</v>
      </c>
      <c r="K4" s="96">
        <v>3814503629.1999998</v>
      </c>
      <c r="L4" s="267">
        <v>3765710513</v>
      </c>
      <c r="M4" s="96">
        <v>2632133224.8000002</v>
      </c>
      <c r="N4" s="96">
        <v>2242234046.5999999</v>
      </c>
      <c r="O4" s="268">
        <v>2951305638.4499998</v>
      </c>
      <c r="P4" s="268">
        <v>3300803953.3000002</v>
      </c>
      <c r="Q4" s="269">
        <v>3176726243.5500002</v>
      </c>
      <c r="R4" s="96">
        <v>2279707954.3499999</v>
      </c>
      <c r="S4" s="96">
        <v>729155910.35000002</v>
      </c>
      <c r="T4" s="149">
        <v>707913757.5</v>
      </c>
      <c r="U4" s="149">
        <v>940721729</v>
      </c>
      <c r="V4" s="149">
        <v>799457756.54999995</v>
      </c>
      <c r="W4" s="165">
        <v>385204031</v>
      </c>
      <c r="X4" s="225">
        <v>192694519</v>
      </c>
      <c r="Y4" s="76">
        <v>63200000</v>
      </c>
      <c r="Z4" s="226">
        <v>19066155</v>
      </c>
    </row>
    <row r="5" spans="1:26" ht="12.6" thickBot="1">
      <c r="A5" s="227" t="s">
        <v>102</v>
      </c>
      <c r="B5" s="228">
        <f>B3+B4</f>
        <v>7811003727.0599995</v>
      </c>
      <c r="C5" s="228">
        <v>6605137246.5299997</v>
      </c>
      <c r="D5" s="228">
        <f>D3+D4</f>
        <v>6304463450.6499996</v>
      </c>
      <c r="E5" s="228">
        <v>5934395837.3999996</v>
      </c>
      <c r="F5" s="228">
        <v>6207742919.2000008</v>
      </c>
      <c r="G5" s="228">
        <v>6420558410.0445004</v>
      </c>
      <c r="H5" s="228">
        <v>6873330022.79</v>
      </c>
      <c r="I5" s="228">
        <v>6281389531.9200001</v>
      </c>
      <c r="J5" s="228">
        <v>7634459759.04</v>
      </c>
      <c r="K5" s="229">
        <v>6561415029.1999998</v>
      </c>
      <c r="L5" s="230">
        <v>6461406313</v>
      </c>
      <c r="M5" s="230">
        <v>5276952524.8000002</v>
      </c>
      <c r="N5" s="230">
        <v>4717858331.6000004</v>
      </c>
      <c r="O5" s="231">
        <v>5390400333.4499998</v>
      </c>
      <c r="P5" s="231">
        <v>5689632248.3000002</v>
      </c>
      <c r="Q5" s="231">
        <v>5407133423.5500002</v>
      </c>
      <c r="R5" s="232">
        <v>4469135614.3500004</v>
      </c>
      <c r="S5" s="233">
        <v>2761028210.3499999</v>
      </c>
      <c r="T5" s="234">
        <v>2706075312.5</v>
      </c>
      <c r="U5" s="234">
        <v>2769519169</v>
      </c>
      <c r="V5" s="234">
        <v>2598659516.5500002</v>
      </c>
      <c r="W5" s="234">
        <v>2154684752</v>
      </c>
      <c r="X5" s="235">
        <v>1826186494</v>
      </c>
      <c r="Y5" s="234">
        <v>1662576350</v>
      </c>
      <c r="Z5" s="235">
        <v>1322304905</v>
      </c>
    </row>
    <row r="6" spans="1:26" ht="12">
      <c r="A6" s="469"/>
      <c r="B6" s="58"/>
      <c r="C6" s="58"/>
      <c r="D6" s="58"/>
      <c r="E6" s="58"/>
      <c r="F6" s="58"/>
      <c r="G6" s="58"/>
      <c r="H6" s="58"/>
      <c r="I6" s="58"/>
      <c r="J6" s="58"/>
      <c r="K6" s="58"/>
      <c r="L6" s="236"/>
      <c r="M6" s="388"/>
      <c r="N6" s="237"/>
      <c r="O6" s="58"/>
      <c r="P6" s="58"/>
      <c r="Q6" s="58"/>
      <c r="R6" s="58"/>
      <c r="S6" s="58"/>
      <c r="T6" s="96"/>
      <c r="U6" s="96"/>
      <c r="V6" s="165"/>
      <c r="W6" s="165"/>
      <c r="X6" s="225"/>
      <c r="Y6" s="76"/>
      <c r="Z6" s="238"/>
    </row>
    <row r="7" spans="1:26" ht="12.6" thickBot="1">
      <c r="A7" s="227"/>
      <c r="B7" s="465"/>
      <c r="C7" s="465"/>
      <c r="D7" s="465"/>
      <c r="E7" s="465"/>
      <c r="F7" s="465"/>
      <c r="G7" s="465"/>
      <c r="H7" s="465"/>
      <c r="I7" s="465"/>
      <c r="J7" s="465"/>
      <c r="K7" s="411"/>
      <c r="L7" s="411"/>
      <c r="M7" s="411"/>
      <c r="N7" s="411"/>
      <c r="O7" s="411"/>
      <c r="P7" s="411"/>
      <c r="Q7" s="411"/>
      <c r="R7" s="411"/>
      <c r="S7" s="411"/>
      <c r="T7" s="411"/>
      <c r="U7" s="411"/>
      <c r="V7" s="411"/>
      <c r="W7" s="411"/>
      <c r="X7" s="411"/>
      <c r="Y7" s="76"/>
      <c r="Z7" s="238"/>
    </row>
    <row r="8" spans="1:26" ht="12">
      <c r="A8" s="224" t="s">
        <v>103</v>
      </c>
      <c r="B8" s="96"/>
      <c r="C8" s="96">
        <v>0</v>
      </c>
      <c r="D8" s="96">
        <v>0</v>
      </c>
      <c r="E8" s="96">
        <v>0</v>
      </c>
      <c r="F8" s="96">
        <v>0</v>
      </c>
      <c r="G8" s="96">
        <v>0</v>
      </c>
      <c r="H8" s="149">
        <v>0</v>
      </c>
      <c r="I8" s="149">
        <v>0</v>
      </c>
      <c r="J8" s="149">
        <v>0</v>
      </c>
      <c r="K8" s="149">
        <v>0</v>
      </c>
      <c r="L8" s="149">
        <v>0</v>
      </c>
      <c r="M8" s="149">
        <v>0</v>
      </c>
      <c r="N8" s="149">
        <v>0</v>
      </c>
      <c r="O8" s="149">
        <v>0</v>
      </c>
      <c r="P8" s="149">
        <v>10842500</v>
      </c>
      <c r="Q8" s="96">
        <v>0</v>
      </c>
      <c r="R8" s="269"/>
      <c r="S8" s="149">
        <v>0</v>
      </c>
      <c r="T8" s="149">
        <v>491236593.5</v>
      </c>
      <c r="U8" s="149">
        <v>467057690.5</v>
      </c>
      <c r="V8" s="165">
        <v>75815311</v>
      </c>
      <c r="W8" s="165">
        <v>303875370</v>
      </c>
      <c r="X8" s="225">
        <v>166861717</v>
      </c>
      <c r="Y8" s="76">
        <v>453396662</v>
      </c>
      <c r="Z8" s="238">
        <v>418475905</v>
      </c>
    </row>
    <row r="9" spans="1:26" ht="12">
      <c r="A9" s="239" t="s">
        <v>104</v>
      </c>
      <c r="B9" s="149"/>
      <c r="C9" s="149">
        <v>376885778.55000007</v>
      </c>
      <c r="D9" s="149">
        <v>881763923.6500001</v>
      </c>
      <c r="E9" s="149">
        <v>760448009.70000005</v>
      </c>
      <c r="F9" s="149">
        <v>264771836</v>
      </c>
      <c r="G9" s="149">
        <v>184997155</v>
      </c>
      <c r="H9" s="149">
        <v>0</v>
      </c>
      <c r="I9" s="149">
        <v>0</v>
      </c>
      <c r="J9" s="149">
        <v>0</v>
      </c>
      <c r="K9" s="149">
        <v>31510000</v>
      </c>
      <c r="L9" s="149">
        <v>19870000</v>
      </c>
      <c r="M9" s="149">
        <v>0</v>
      </c>
      <c r="N9" s="149">
        <v>0</v>
      </c>
      <c r="O9" s="149">
        <v>78070000</v>
      </c>
      <c r="P9" s="149">
        <v>562402275</v>
      </c>
      <c r="Q9" s="149">
        <v>0</v>
      </c>
      <c r="R9" s="149">
        <v>51276200</v>
      </c>
      <c r="S9" s="149"/>
      <c r="T9" s="149">
        <v>76750929</v>
      </c>
      <c r="U9" s="149">
        <v>34450000</v>
      </c>
      <c r="V9" s="165">
        <v>0</v>
      </c>
      <c r="W9" s="165">
        <v>0</v>
      </c>
      <c r="X9" s="225">
        <v>10450000</v>
      </c>
      <c r="Y9" s="76">
        <v>0</v>
      </c>
      <c r="Z9" s="238">
        <v>0</v>
      </c>
    </row>
    <row r="10" spans="1:26" ht="12">
      <c r="A10" s="239" t="s">
        <v>105</v>
      </c>
      <c r="B10" s="149"/>
      <c r="C10" s="149">
        <v>0</v>
      </c>
      <c r="D10" s="149">
        <v>0</v>
      </c>
      <c r="E10" s="149">
        <v>0</v>
      </c>
      <c r="F10" s="149">
        <v>0</v>
      </c>
      <c r="G10" s="149">
        <v>0</v>
      </c>
      <c r="H10" s="149">
        <v>0</v>
      </c>
      <c r="I10" s="149">
        <v>0</v>
      </c>
      <c r="J10" s="149">
        <v>0</v>
      </c>
      <c r="K10" s="149">
        <v>0</v>
      </c>
      <c r="L10" s="149">
        <v>0</v>
      </c>
      <c r="M10" s="149">
        <v>0</v>
      </c>
      <c r="N10" s="149">
        <v>0</v>
      </c>
      <c r="O10" s="149">
        <v>0</v>
      </c>
      <c r="P10" s="149">
        <v>0</v>
      </c>
      <c r="Q10" s="149">
        <v>0</v>
      </c>
      <c r="R10" s="149">
        <v>30000000</v>
      </c>
      <c r="S10" s="149"/>
      <c r="T10" s="149"/>
      <c r="U10" s="149"/>
      <c r="V10" s="165"/>
      <c r="W10" s="165"/>
      <c r="X10" s="225"/>
      <c r="Y10" s="76"/>
      <c r="Z10" s="238"/>
    </row>
    <row r="11" spans="1:26" ht="12">
      <c r="A11" s="224" t="s">
        <v>106</v>
      </c>
      <c r="B11" s="96"/>
      <c r="C11" s="96">
        <v>58840720</v>
      </c>
      <c r="D11" s="96">
        <v>24000000</v>
      </c>
      <c r="E11" s="96">
        <v>104750371</v>
      </c>
      <c r="F11" s="96">
        <v>20623602</v>
      </c>
      <c r="G11" s="96">
        <v>0</v>
      </c>
      <c r="H11" s="96">
        <v>10153000</v>
      </c>
      <c r="I11" s="96">
        <v>15000000</v>
      </c>
      <c r="J11" s="96">
        <v>918015268.89999998</v>
      </c>
      <c r="K11" s="96">
        <v>260068279.56</v>
      </c>
      <c r="L11" s="96">
        <v>57500000</v>
      </c>
      <c r="M11" s="267">
        <v>31266000</v>
      </c>
      <c r="N11" s="96">
        <v>335757940</v>
      </c>
      <c r="O11" s="149">
        <v>228831078</v>
      </c>
      <c r="P11" s="149">
        <v>95000000</v>
      </c>
      <c r="Q11" s="96">
        <v>66142544</v>
      </c>
      <c r="R11" s="96">
        <v>54664820</v>
      </c>
      <c r="S11" s="149">
        <v>99000000</v>
      </c>
      <c r="T11" s="149">
        <v>59300014</v>
      </c>
      <c r="U11" s="149">
        <v>104136159</v>
      </c>
      <c r="V11" s="165">
        <v>197530000</v>
      </c>
      <c r="W11" s="165">
        <v>48528775</v>
      </c>
      <c r="X11" s="225">
        <v>94209746</v>
      </c>
      <c r="Y11" s="76">
        <v>0</v>
      </c>
      <c r="Z11" s="238">
        <v>0</v>
      </c>
    </row>
    <row r="12" spans="1:26" ht="12">
      <c r="A12" s="239" t="s">
        <v>104</v>
      </c>
      <c r="B12" s="149"/>
      <c r="C12" s="149">
        <v>276425155</v>
      </c>
      <c r="D12" s="149">
        <v>487145473.05000001</v>
      </c>
      <c r="E12" s="149">
        <v>452344595</v>
      </c>
      <c r="F12" s="149">
        <v>692865165.5</v>
      </c>
      <c r="G12" s="149">
        <v>1214999246.9245</v>
      </c>
      <c r="H12" s="149">
        <v>1818210608.55</v>
      </c>
      <c r="I12" s="149">
        <v>713413832.36000001</v>
      </c>
      <c r="J12" s="149">
        <v>2111916905.6700001</v>
      </c>
      <c r="K12" s="149">
        <v>50000000</v>
      </c>
      <c r="L12" s="149">
        <v>1224590213</v>
      </c>
      <c r="M12" s="270">
        <v>695266000</v>
      </c>
      <c r="N12" s="149">
        <v>340000000</v>
      </c>
      <c r="O12" s="149">
        <v>455105100</v>
      </c>
      <c r="P12" s="149">
        <v>249003434</v>
      </c>
      <c r="Q12" s="149">
        <v>333000000</v>
      </c>
      <c r="R12" s="149">
        <v>190356000</v>
      </c>
      <c r="S12" s="149">
        <v>35240000</v>
      </c>
      <c r="T12" s="149">
        <v>0</v>
      </c>
      <c r="U12" s="149">
        <v>12629000</v>
      </c>
      <c r="V12" s="165">
        <v>0</v>
      </c>
      <c r="W12" s="165">
        <v>0</v>
      </c>
      <c r="X12" s="225">
        <v>0</v>
      </c>
      <c r="Y12" s="76">
        <v>0</v>
      </c>
      <c r="Z12" s="238">
        <v>0</v>
      </c>
    </row>
    <row r="13" spans="1:26" ht="12">
      <c r="A13" s="239" t="s">
        <v>105</v>
      </c>
      <c r="B13" s="149"/>
      <c r="C13" s="149">
        <v>0</v>
      </c>
      <c r="D13" s="149">
        <v>0</v>
      </c>
      <c r="E13" s="149">
        <v>0</v>
      </c>
      <c r="F13" s="149">
        <v>0</v>
      </c>
      <c r="G13" s="149">
        <v>0</v>
      </c>
      <c r="H13" s="149">
        <v>0</v>
      </c>
      <c r="I13" s="149">
        <v>0</v>
      </c>
      <c r="J13" s="149">
        <v>0</v>
      </c>
      <c r="K13" s="149">
        <v>0</v>
      </c>
      <c r="L13" s="149">
        <v>0</v>
      </c>
      <c r="M13" s="149">
        <v>0</v>
      </c>
      <c r="N13" s="149">
        <v>0</v>
      </c>
      <c r="O13" s="149">
        <v>0</v>
      </c>
      <c r="P13" s="149">
        <v>0</v>
      </c>
      <c r="Q13" s="149">
        <v>398500000</v>
      </c>
      <c r="R13" s="149">
        <v>235800000</v>
      </c>
      <c r="S13" s="149"/>
      <c r="T13" s="149"/>
      <c r="U13" s="149"/>
      <c r="V13" s="165"/>
      <c r="W13" s="165"/>
      <c r="X13" s="225"/>
      <c r="Y13" s="76"/>
      <c r="Z13" s="238"/>
    </row>
    <row r="14" spans="1:26" ht="12">
      <c r="A14" s="224" t="s">
        <v>107</v>
      </c>
      <c r="B14" s="96"/>
      <c r="C14" s="96">
        <v>878548895.08000004</v>
      </c>
      <c r="D14" s="96">
        <v>934333238.07000005</v>
      </c>
      <c r="E14" s="96">
        <v>1094580971.8899999</v>
      </c>
      <c r="F14" s="96">
        <v>1106663485</v>
      </c>
      <c r="G14" s="64">
        <v>989721000</v>
      </c>
      <c r="H14" s="96">
        <v>381157999</v>
      </c>
      <c r="I14" s="96">
        <v>225577000</v>
      </c>
      <c r="J14" s="96">
        <v>118240400</v>
      </c>
      <c r="K14" s="96">
        <v>225357000</v>
      </c>
      <c r="L14" s="96">
        <v>144676500</v>
      </c>
      <c r="M14" s="267">
        <v>80945000</v>
      </c>
      <c r="N14" s="96">
        <v>72480000</v>
      </c>
      <c r="O14" s="149">
        <v>90325000</v>
      </c>
      <c r="P14" s="149">
        <v>7250000</v>
      </c>
      <c r="Q14" s="96">
        <v>5275000</v>
      </c>
      <c r="R14" s="96">
        <v>0</v>
      </c>
      <c r="S14" s="149">
        <v>38530714</v>
      </c>
      <c r="T14" s="149">
        <v>266479282</v>
      </c>
      <c r="U14" s="149">
        <v>101592000</v>
      </c>
      <c r="V14" s="165">
        <v>108950000</v>
      </c>
      <c r="W14" s="165">
        <v>384700000</v>
      </c>
      <c r="X14" s="226">
        <v>388626000</v>
      </c>
      <c r="Y14" s="76">
        <v>365185169</v>
      </c>
      <c r="Z14" s="238">
        <v>319584000</v>
      </c>
    </row>
    <row r="15" spans="1:26" ht="12">
      <c r="A15" s="239" t="s">
        <v>104</v>
      </c>
      <c r="B15" s="149"/>
      <c r="C15" s="149">
        <v>882051050.39999998</v>
      </c>
      <c r="D15" s="149">
        <v>769141541.85000002</v>
      </c>
      <c r="E15" s="149">
        <v>620934090.80999994</v>
      </c>
      <c r="F15" s="149">
        <v>950323728</v>
      </c>
      <c r="G15" s="149">
        <v>606871000</v>
      </c>
      <c r="H15" s="149">
        <v>663385001</v>
      </c>
      <c r="I15" s="149">
        <v>554545900</v>
      </c>
      <c r="J15" s="149">
        <v>482831600</v>
      </c>
      <c r="K15" s="149">
        <v>353473500</v>
      </c>
      <c r="L15" s="149">
        <v>352830000</v>
      </c>
      <c r="M15" s="270">
        <v>116150000</v>
      </c>
      <c r="N15" s="149">
        <v>100725000</v>
      </c>
      <c r="O15" s="149">
        <v>20100000</v>
      </c>
      <c r="P15" s="149">
        <v>62625000</v>
      </c>
      <c r="Q15" s="149">
        <v>31050000</v>
      </c>
      <c r="R15" s="96">
        <v>28690000</v>
      </c>
      <c r="S15" s="149">
        <v>86135000</v>
      </c>
      <c r="T15" s="149">
        <v>101789718</v>
      </c>
      <c r="U15" s="149">
        <v>329745562</v>
      </c>
      <c r="V15" s="165">
        <v>428150000</v>
      </c>
      <c r="W15" s="165">
        <v>97550000</v>
      </c>
      <c r="X15" s="225">
        <v>123550000</v>
      </c>
      <c r="Y15" s="165">
        <v>0</v>
      </c>
      <c r="Z15" s="240">
        <v>0</v>
      </c>
    </row>
    <row r="16" spans="1:26" ht="12">
      <c r="A16" s="239" t="s">
        <v>105</v>
      </c>
      <c r="B16" s="149"/>
      <c r="C16" s="149">
        <v>0</v>
      </c>
      <c r="D16" s="149">
        <v>0</v>
      </c>
      <c r="E16" s="149">
        <v>0</v>
      </c>
      <c r="F16" s="149">
        <v>0</v>
      </c>
      <c r="G16" s="149">
        <v>0</v>
      </c>
      <c r="H16" s="149">
        <v>0</v>
      </c>
      <c r="I16" s="149">
        <v>0</v>
      </c>
      <c r="J16" s="149">
        <v>0</v>
      </c>
      <c r="K16" s="149">
        <v>0</v>
      </c>
      <c r="L16" s="149">
        <v>0</v>
      </c>
      <c r="M16" s="149">
        <v>0</v>
      </c>
      <c r="N16" s="149">
        <v>0</v>
      </c>
      <c r="O16" s="149">
        <v>0</v>
      </c>
      <c r="P16" s="149">
        <v>0</v>
      </c>
      <c r="Q16" s="149">
        <v>0</v>
      </c>
      <c r="R16" s="149">
        <v>15700000</v>
      </c>
      <c r="S16" s="149"/>
      <c r="T16" s="149"/>
      <c r="U16" s="149"/>
      <c r="V16" s="165"/>
      <c r="W16" s="165"/>
      <c r="X16" s="225"/>
      <c r="Y16" s="165"/>
      <c r="Z16" s="240"/>
    </row>
    <row r="17" spans="1:26" ht="12">
      <c r="A17" s="224" t="s">
        <v>108</v>
      </c>
      <c r="B17" s="96"/>
      <c r="C17" s="96"/>
      <c r="D17" s="58"/>
      <c r="E17" s="58"/>
      <c r="F17" s="58"/>
      <c r="G17" s="58"/>
      <c r="H17" s="149">
        <v>0</v>
      </c>
      <c r="I17" s="149">
        <v>0</v>
      </c>
      <c r="J17" s="149">
        <v>0</v>
      </c>
      <c r="K17" s="149">
        <v>0</v>
      </c>
      <c r="L17" s="149">
        <v>0</v>
      </c>
      <c r="M17" s="149">
        <v>0</v>
      </c>
      <c r="N17" s="149">
        <v>0</v>
      </c>
      <c r="O17" s="149">
        <v>0</v>
      </c>
      <c r="P17" s="149">
        <v>0</v>
      </c>
      <c r="Q17" s="96">
        <v>0</v>
      </c>
      <c r="R17" s="96"/>
      <c r="S17" s="149"/>
      <c r="T17" s="96">
        <v>0</v>
      </c>
      <c r="U17" s="96">
        <v>0</v>
      </c>
      <c r="V17" s="165">
        <v>0</v>
      </c>
      <c r="W17" s="165">
        <v>0</v>
      </c>
      <c r="X17" s="225">
        <v>0</v>
      </c>
      <c r="Y17" s="165">
        <v>0</v>
      </c>
      <c r="Z17" s="240">
        <v>0</v>
      </c>
    </row>
    <row r="18" spans="1:26" ht="12">
      <c r="A18" s="224" t="s">
        <v>3</v>
      </c>
      <c r="B18" s="96"/>
      <c r="C18" s="96">
        <v>0</v>
      </c>
      <c r="D18" s="96">
        <v>0</v>
      </c>
      <c r="E18" s="96">
        <v>0</v>
      </c>
      <c r="F18" s="96">
        <v>0</v>
      </c>
      <c r="G18" s="96">
        <v>0</v>
      </c>
      <c r="H18" s="96">
        <v>20000000</v>
      </c>
      <c r="I18" s="149">
        <v>0</v>
      </c>
      <c r="J18" s="75">
        <v>8600000</v>
      </c>
      <c r="K18" s="75">
        <v>10000000</v>
      </c>
      <c r="L18" s="149">
        <v>0</v>
      </c>
      <c r="M18" s="267">
        <v>3650000</v>
      </c>
      <c r="N18" s="96">
        <v>1897830</v>
      </c>
      <c r="O18" s="149">
        <v>10000000</v>
      </c>
      <c r="P18" s="149">
        <v>13300000</v>
      </c>
      <c r="Q18" s="96">
        <v>3440000</v>
      </c>
      <c r="R18" s="96">
        <v>16043250</v>
      </c>
      <c r="S18" s="149">
        <v>40869207</v>
      </c>
      <c r="T18" s="149">
        <v>19402500</v>
      </c>
      <c r="U18" s="96">
        <v>0</v>
      </c>
      <c r="V18" s="165">
        <v>4225000</v>
      </c>
      <c r="W18" s="165">
        <v>10000000</v>
      </c>
      <c r="X18" s="225">
        <v>3700000</v>
      </c>
      <c r="Y18" s="165">
        <v>0</v>
      </c>
      <c r="Z18" s="240">
        <v>0</v>
      </c>
    </row>
    <row r="19" spans="1:26" ht="12">
      <c r="A19" s="239" t="s">
        <v>104</v>
      </c>
      <c r="B19" s="149"/>
      <c r="C19" s="149">
        <v>0</v>
      </c>
      <c r="D19" s="149">
        <v>0</v>
      </c>
      <c r="E19" s="149">
        <v>0</v>
      </c>
      <c r="F19" s="149">
        <v>0</v>
      </c>
      <c r="G19" s="149">
        <v>0</v>
      </c>
      <c r="H19" s="149">
        <v>0</v>
      </c>
      <c r="I19" s="149">
        <v>0</v>
      </c>
      <c r="J19" s="149">
        <v>0</v>
      </c>
      <c r="K19" s="149">
        <v>0</v>
      </c>
      <c r="L19" s="149">
        <v>0</v>
      </c>
      <c r="M19" s="149">
        <v>0</v>
      </c>
      <c r="N19" s="149">
        <v>0</v>
      </c>
      <c r="O19" s="149">
        <v>0</v>
      </c>
      <c r="P19" s="149">
        <v>0</v>
      </c>
      <c r="Q19" s="149">
        <v>0</v>
      </c>
      <c r="R19" s="96"/>
      <c r="S19" s="149"/>
      <c r="T19" s="96">
        <v>0</v>
      </c>
      <c r="U19" s="96">
        <v>0</v>
      </c>
      <c r="V19" s="165">
        <v>3000000</v>
      </c>
      <c r="W19" s="165">
        <v>0</v>
      </c>
      <c r="X19" s="225">
        <v>0</v>
      </c>
      <c r="Y19" s="165">
        <v>0</v>
      </c>
      <c r="Z19" s="240">
        <v>0</v>
      </c>
    </row>
    <row r="20" spans="1:26" ht="12">
      <c r="A20" s="224" t="s">
        <v>109</v>
      </c>
      <c r="B20" s="96"/>
      <c r="C20" s="96">
        <v>15000000</v>
      </c>
      <c r="D20" s="96">
        <v>100000000</v>
      </c>
      <c r="E20" s="96">
        <v>75000000</v>
      </c>
      <c r="F20" s="96">
        <v>100000000</v>
      </c>
      <c r="G20" s="96">
        <v>76870000</v>
      </c>
      <c r="H20" s="96">
        <v>75000000</v>
      </c>
      <c r="I20" s="96">
        <v>86430000</v>
      </c>
      <c r="J20" s="75">
        <v>0</v>
      </c>
      <c r="K20" s="75">
        <v>50000000</v>
      </c>
      <c r="L20" s="75">
        <v>53350000</v>
      </c>
      <c r="M20" s="271">
        <v>155360000</v>
      </c>
      <c r="N20" s="75">
        <v>40675827</v>
      </c>
      <c r="O20" s="75">
        <v>361535000</v>
      </c>
      <c r="P20" s="75">
        <v>45000000</v>
      </c>
      <c r="Q20" s="96">
        <v>445510316.30000001</v>
      </c>
      <c r="R20" s="96">
        <v>358800000</v>
      </c>
      <c r="S20" s="149">
        <v>658300000</v>
      </c>
      <c r="T20" s="149">
        <v>475235473</v>
      </c>
      <c r="U20" s="149">
        <v>519550000</v>
      </c>
      <c r="V20" s="165">
        <v>139425000</v>
      </c>
      <c r="W20" s="165">
        <v>189355000</v>
      </c>
      <c r="X20" s="225">
        <v>391476662</v>
      </c>
      <c r="Y20" s="76">
        <v>391800000</v>
      </c>
      <c r="Z20" s="238">
        <v>384205000</v>
      </c>
    </row>
    <row r="21" spans="1:26" ht="12">
      <c r="A21" s="239" t="s">
        <v>104</v>
      </c>
      <c r="B21" s="149"/>
      <c r="C21" s="149">
        <v>113000000</v>
      </c>
      <c r="D21" s="149">
        <v>66000000</v>
      </c>
      <c r="E21" s="149">
        <v>0</v>
      </c>
      <c r="F21" s="149">
        <v>0</v>
      </c>
      <c r="G21" s="149">
        <v>94030000</v>
      </c>
      <c r="H21" s="149">
        <v>25000000</v>
      </c>
      <c r="I21" s="149">
        <v>352115000</v>
      </c>
      <c r="J21" s="76">
        <v>0</v>
      </c>
      <c r="K21" s="76">
        <v>252885000</v>
      </c>
      <c r="L21" s="76">
        <v>0</v>
      </c>
      <c r="M21" s="76">
        <v>0</v>
      </c>
      <c r="N21" s="76">
        <v>0</v>
      </c>
      <c r="O21" s="76">
        <v>0</v>
      </c>
      <c r="P21" s="76">
        <v>40200000</v>
      </c>
      <c r="Q21" s="149">
        <v>143000000</v>
      </c>
      <c r="R21" s="96"/>
      <c r="S21" s="149"/>
      <c r="T21" s="149">
        <v>96499998</v>
      </c>
      <c r="U21" s="149">
        <v>205500000</v>
      </c>
      <c r="V21" s="165">
        <v>5200000</v>
      </c>
      <c r="W21" s="165">
        <v>0</v>
      </c>
      <c r="X21" s="225">
        <v>22108338</v>
      </c>
      <c r="Y21" s="76">
        <v>0</v>
      </c>
      <c r="Z21" s="238">
        <v>0</v>
      </c>
    </row>
    <row r="22" spans="1:26" ht="12">
      <c r="A22" s="224" t="s">
        <v>110</v>
      </c>
      <c r="B22" s="96"/>
      <c r="C22" s="96">
        <v>142036346.25</v>
      </c>
      <c r="D22" s="96">
        <v>0</v>
      </c>
      <c r="E22" s="96">
        <v>0</v>
      </c>
      <c r="F22" s="96">
        <v>68359729.400000006</v>
      </c>
      <c r="G22" s="96">
        <v>63258647.799999997</v>
      </c>
      <c r="H22" s="64">
        <v>46001315.149999999</v>
      </c>
      <c r="I22" s="76">
        <v>0</v>
      </c>
      <c r="J22" s="75">
        <v>0</v>
      </c>
      <c r="K22" s="75">
        <v>0</v>
      </c>
      <c r="L22" s="75">
        <v>0</v>
      </c>
      <c r="M22" s="75">
        <v>0</v>
      </c>
      <c r="N22" s="75">
        <v>0</v>
      </c>
      <c r="O22" s="75">
        <v>0</v>
      </c>
      <c r="P22" s="75">
        <v>0</v>
      </c>
      <c r="Q22" s="96">
        <v>85850000</v>
      </c>
      <c r="R22" s="96">
        <v>0</v>
      </c>
      <c r="S22" s="149">
        <v>58500000</v>
      </c>
      <c r="T22" s="149">
        <v>209759336</v>
      </c>
      <c r="U22" s="149">
        <v>191945000</v>
      </c>
      <c r="V22" s="165">
        <v>598050000</v>
      </c>
      <c r="W22" s="165">
        <v>296200000</v>
      </c>
      <c r="X22" s="225">
        <v>140000000</v>
      </c>
      <c r="Y22" s="76">
        <v>139500000</v>
      </c>
      <c r="Z22" s="238">
        <v>136840000</v>
      </c>
    </row>
    <row r="23" spans="1:26" ht="12">
      <c r="A23" s="239" t="s">
        <v>104</v>
      </c>
      <c r="B23" s="149"/>
      <c r="C23" s="149">
        <v>0</v>
      </c>
      <c r="D23" s="149">
        <v>43375000</v>
      </c>
      <c r="E23" s="149">
        <v>0</v>
      </c>
      <c r="F23" s="149">
        <v>0</v>
      </c>
      <c r="G23" s="149">
        <v>30032428.350000001</v>
      </c>
      <c r="H23" s="241">
        <v>19967571.649999999</v>
      </c>
      <c r="I23" s="76">
        <v>0</v>
      </c>
      <c r="J23" s="76">
        <v>0</v>
      </c>
      <c r="K23" s="76">
        <v>0</v>
      </c>
      <c r="L23" s="76">
        <v>0</v>
      </c>
      <c r="M23" s="76">
        <v>0</v>
      </c>
      <c r="N23" s="76">
        <v>0</v>
      </c>
      <c r="O23" s="76">
        <v>0</v>
      </c>
      <c r="P23" s="76">
        <v>0</v>
      </c>
      <c r="Q23" s="149">
        <v>208000000</v>
      </c>
      <c r="R23" s="96"/>
      <c r="S23" s="149"/>
      <c r="T23" s="149">
        <v>30645664</v>
      </c>
      <c r="U23" s="96">
        <v>0</v>
      </c>
      <c r="V23" s="165">
        <v>58000000</v>
      </c>
      <c r="W23" s="165">
        <v>0</v>
      </c>
      <c r="X23" s="225">
        <v>0</v>
      </c>
      <c r="Y23" s="76">
        <v>0</v>
      </c>
      <c r="Z23" s="238">
        <v>0</v>
      </c>
    </row>
    <row r="24" spans="1:26" ht="12">
      <c r="A24" s="224" t="s">
        <v>111</v>
      </c>
      <c r="B24" s="96"/>
      <c r="C24" s="96">
        <v>111958628.8</v>
      </c>
      <c r="D24" s="96">
        <v>141477004.5</v>
      </c>
      <c r="E24" s="96">
        <v>100422987.95</v>
      </c>
      <c r="F24" s="96">
        <v>177456005.59999999</v>
      </c>
      <c r="G24" s="269">
        <v>69990168.900000006</v>
      </c>
      <c r="H24" s="76">
        <v>0</v>
      </c>
      <c r="I24" s="76">
        <v>0</v>
      </c>
      <c r="J24" s="75">
        <v>170111691.94999999</v>
      </c>
      <c r="K24" s="75">
        <v>0</v>
      </c>
      <c r="L24" s="75">
        <v>0</v>
      </c>
      <c r="M24" s="75">
        <v>0</v>
      </c>
      <c r="N24" s="75">
        <v>0</v>
      </c>
      <c r="O24" s="75">
        <v>0</v>
      </c>
      <c r="P24" s="75">
        <v>74994999.700000003</v>
      </c>
      <c r="Q24" s="96">
        <v>95279609.400000006</v>
      </c>
      <c r="R24" s="96">
        <v>24999100.800000001</v>
      </c>
      <c r="S24" s="149">
        <v>74997184.099999994</v>
      </c>
      <c r="T24" s="149">
        <v>99999895.150000006</v>
      </c>
      <c r="U24" s="96">
        <v>0</v>
      </c>
      <c r="V24" s="165">
        <v>0</v>
      </c>
      <c r="W24" s="165">
        <v>25000000</v>
      </c>
      <c r="X24" s="225">
        <v>100000000</v>
      </c>
      <c r="Y24" s="76">
        <v>120000000</v>
      </c>
      <c r="Z24" s="238" t="s">
        <v>131</v>
      </c>
    </row>
    <row r="25" spans="1:26" ht="12">
      <c r="A25" s="239" t="s">
        <v>104</v>
      </c>
      <c r="B25" s="149"/>
      <c r="C25" s="149">
        <v>0</v>
      </c>
      <c r="D25" s="149">
        <v>0</v>
      </c>
      <c r="E25" s="149">
        <v>0</v>
      </c>
      <c r="F25" s="149">
        <v>0</v>
      </c>
      <c r="G25" s="149">
        <v>29724277</v>
      </c>
      <c r="H25" s="149">
        <v>170275723</v>
      </c>
      <c r="I25" s="76">
        <v>0</v>
      </c>
      <c r="J25" s="76">
        <v>501939.59999999404</v>
      </c>
      <c r="K25" s="76">
        <v>179995089.59999999</v>
      </c>
      <c r="L25" s="76">
        <v>169502970.80000001</v>
      </c>
      <c r="M25" s="8">
        <v>81144804</v>
      </c>
      <c r="N25" s="76">
        <v>143854150.80000001</v>
      </c>
      <c r="O25" s="76">
        <v>99995837.400000006</v>
      </c>
      <c r="P25" s="76">
        <v>50000000</v>
      </c>
      <c r="Q25" s="149">
        <v>144649500</v>
      </c>
      <c r="R25" s="149">
        <v>50000000</v>
      </c>
      <c r="S25" s="149">
        <v>0</v>
      </c>
      <c r="T25" s="149">
        <v>0</v>
      </c>
      <c r="U25" s="96">
        <v>0</v>
      </c>
      <c r="V25" s="165">
        <v>0</v>
      </c>
      <c r="W25" s="165">
        <v>0</v>
      </c>
      <c r="X25" s="225">
        <v>0</v>
      </c>
      <c r="Y25" s="76"/>
      <c r="Z25" s="238"/>
    </row>
    <row r="26" spans="1:26" ht="12">
      <c r="A26" s="224" t="s">
        <v>112</v>
      </c>
      <c r="B26" s="96"/>
      <c r="C26" s="96">
        <v>0</v>
      </c>
      <c r="D26" s="96">
        <v>0</v>
      </c>
      <c r="E26" s="96">
        <v>0</v>
      </c>
      <c r="F26" s="96">
        <v>0</v>
      </c>
      <c r="G26" s="149">
        <v>0</v>
      </c>
      <c r="H26" s="76">
        <v>0</v>
      </c>
      <c r="I26" s="76">
        <v>0</v>
      </c>
      <c r="J26" s="76">
        <v>0</v>
      </c>
      <c r="K26" s="76">
        <v>0</v>
      </c>
      <c r="L26" s="76">
        <v>0</v>
      </c>
      <c r="M26" s="76">
        <v>0</v>
      </c>
      <c r="N26" s="75">
        <v>742041688</v>
      </c>
      <c r="O26" s="75">
        <v>796507617.5999999</v>
      </c>
      <c r="P26" s="75">
        <v>1107266939</v>
      </c>
      <c r="Q26" s="149">
        <v>0.30000019073486328</v>
      </c>
      <c r="R26" s="96"/>
      <c r="S26" s="149">
        <v>18660702.037717462</v>
      </c>
      <c r="T26" s="149">
        <v>0</v>
      </c>
      <c r="U26" s="96">
        <v>0</v>
      </c>
      <c r="V26" s="165">
        <v>0</v>
      </c>
      <c r="W26" s="165">
        <v>0</v>
      </c>
      <c r="X26" s="225">
        <v>0</v>
      </c>
      <c r="Y26" s="76">
        <v>0</v>
      </c>
      <c r="Z26" s="238">
        <v>0</v>
      </c>
    </row>
    <row r="27" spans="1:26" ht="12">
      <c r="A27" s="224" t="s">
        <v>113</v>
      </c>
      <c r="B27" s="96">
        <f>'2022 CF'!M35</f>
        <v>61566161.709999993</v>
      </c>
      <c r="C27" s="96">
        <v>7194975.3899999987</v>
      </c>
      <c r="D27" s="96">
        <v>65002648</v>
      </c>
      <c r="E27" s="96">
        <v>25000000.400000006</v>
      </c>
      <c r="F27" s="96">
        <v>140357040</v>
      </c>
      <c r="G27" s="96">
        <v>82005055.920000136</v>
      </c>
      <c r="H27" s="126">
        <v>268187900</v>
      </c>
      <c r="I27" s="126">
        <v>474671500</v>
      </c>
      <c r="J27" s="75">
        <v>514835000</v>
      </c>
      <c r="K27" s="124">
        <v>299926000</v>
      </c>
      <c r="L27" s="124">
        <v>622583000</v>
      </c>
      <c r="M27" s="271">
        <v>347460208</v>
      </c>
      <c r="N27" s="76">
        <v>308292671</v>
      </c>
      <c r="O27" s="75">
        <v>853943988</v>
      </c>
      <c r="P27" s="75">
        <v>520447605</v>
      </c>
      <c r="Q27" s="96">
        <v>146632500.35000002</v>
      </c>
      <c r="R27" s="96">
        <v>236080000</v>
      </c>
      <c r="S27" s="96">
        <v>101327449</v>
      </c>
      <c r="T27" s="149">
        <v>49580000</v>
      </c>
      <c r="U27" s="149">
        <v>95000000</v>
      </c>
      <c r="V27" s="165">
        <v>39592476.549999997</v>
      </c>
      <c r="W27" s="165">
        <v>17850</v>
      </c>
      <c r="X27" s="225">
        <v>0</v>
      </c>
      <c r="Y27" s="165">
        <v>0</v>
      </c>
      <c r="Z27" s="238"/>
    </row>
    <row r="28" spans="1:26" ht="12">
      <c r="A28" s="242" t="s">
        <v>114</v>
      </c>
      <c r="B28" s="1"/>
      <c r="C28" s="1"/>
      <c r="D28" s="1"/>
      <c r="E28" s="1"/>
      <c r="F28" s="1"/>
      <c r="G28" s="1"/>
      <c r="H28" s="1"/>
      <c r="I28" s="1"/>
      <c r="J28" s="76"/>
      <c r="K28" s="1"/>
      <c r="L28" s="1"/>
      <c r="M28" s="1"/>
      <c r="N28" s="1"/>
      <c r="O28" s="1"/>
      <c r="P28" s="1"/>
      <c r="Q28" s="76"/>
      <c r="R28" s="251"/>
      <c r="S28" s="58"/>
      <c r="T28" s="96"/>
      <c r="U28" s="96"/>
      <c r="V28" s="243"/>
      <c r="W28" s="165">
        <v>39677181.549999997</v>
      </c>
      <c r="X28" s="225"/>
      <c r="Y28" s="165"/>
      <c r="Z28" s="238"/>
    </row>
    <row r="29" spans="1:26" ht="12">
      <c r="A29" s="242" t="s">
        <v>115</v>
      </c>
      <c r="B29" s="1"/>
      <c r="C29" s="1"/>
      <c r="D29" s="1"/>
      <c r="E29" s="76"/>
      <c r="F29" s="76"/>
      <c r="G29" s="1"/>
      <c r="H29" s="191"/>
      <c r="I29" s="191"/>
      <c r="J29" s="76"/>
      <c r="K29" s="1"/>
      <c r="L29" s="1"/>
      <c r="M29" s="1"/>
      <c r="N29" s="1"/>
      <c r="O29" s="1"/>
      <c r="P29" s="1"/>
      <c r="Q29" s="76"/>
      <c r="R29" s="251"/>
      <c r="S29" s="4"/>
      <c r="T29" s="75"/>
      <c r="U29" s="165"/>
      <c r="V29" s="165">
        <v>95000000</v>
      </c>
      <c r="W29" s="165">
        <v>98000000</v>
      </c>
      <c r="X29" s="225"/>
      <c r="Y29" s="165"/>
      <c r="Z29" s="240"/>
    </row>
    <row r="30" spans="1:26" ht="12">
      <c r="A30" s="242" t="s">
        <v>116</v>
      </c>
      <c r="B30" s="1"/>
      <c r="C30" s="1"/>
      <c r="D30" s="149"/>
      <c r="E30" s="76"/>
      <c r="F30" s="76"/>
      <c r="G30" s="1"/>
      <c r="H30" s="76"/>
      <c r="I30" s="76"/>
      <c r="J30" s="76"/>
      <c r="K30" s="1"/>
      <c r="L30" s="1"/>
      <c r="M30" s="1"/>
      <c r="N30" s="1"/>
      <c r="O30" s="1"/>
      <c r="P30" s="76"/>
      <c r="Q30" s="76"/>
      <c r="R30" s="251"/>
      <c r="S30" s="1"/>
      <c r="T30" s="76"/>
      <c r="U30" s="76">
        <v>104065280</v>
      </c>
      <c r="V30" s="76">
        <v>170515280</v>
      </c>
      <c r="W30" s="76">
        <v>661780575</v>
      </c>
      <c r="X30" s="226"/>
      <c r="Y30" s="76"/>
      <c r="Z30" s="238"/>
    </row>
    <row r="31" spans="1:26" ht="12">
      <c r="A31" s="242" t="s">
        <v>117</v>
      </c>
      <c r="B31" s="1"/>
      <c r="C31" s="1"/>
      <c r="D31" s="1"/>
      <c r="E31" s="1"/>
      <c r="F31" s="1"/>
      <c r="G31" s="1"/>
      <c r="H31" s="76"/>
      <c r="I31" s="76"/>
      <c r="J31" s="76"/>
      <c r="K31" s="1"/>
      <c r="L31" s="1"/>
      <c r="M31" s="1"/>
      <c r="N31" s="1"/>
      <c r="O31" s="1">
        <v>34.166666666666671</v>
      </c>
      <c r="P31" s="76"/>
      <c r="Q31" s="76"/>
      <c r="R31" s="251"/>
      <c r="S31" s="1"/>
      <c r="T31" s="76">
        <v>101327449</v>
      </c>
      <c r="U31" s="76">
        <v>159331887</v>
      </c>
      <c r="V31" s="76">
        <v>675206449</v>
      </c>
      <c r="W31" s="76"/>
      <c r="X31" s="226">
        <v>385204031</v>
      </c>
      <c r="Y31" s="76">
        <v>192694519</v>
      </c>
      <c r="Z31" s="238">
        <v>63200000</v>
      </c>
    </row>
    <row r="32" spans="1:26" ht="12">
      <c r="A32" s="242" t="s">
        <v>118</v>
      </c>
      <c r="B32" s="1"/>
      <c r="C32" s="1"/>
      <c r="D32" s="251"/>
      <c r="E32" s="1"/>
      <c r="F32" s="1"/>
      <c r="G32" s="1"/>
      <c r="H32" s="191"/>
      <c r="I32" s="191"/>
      <c r="J32" s="76"/>
      <c r="K32" s="76"/>
      <c r="L32" s="1"/>
      <c r="M32" s="1"/>
      <c r="N32" s="1"/>
      <c r="O32" s="1"/>
      <c r="P32" s="76"/>
      <c r="Q32" s="76"/>
      <c r="R32" s="251"/>
      <c r="S32" s="76">
        <v>236080000</v>
      </c>
      <c r="T32" s="76">
        <v>251080000</v>
      </c>
      <c r="U32" s="76">
        <v>444516590.5</v>
      </c>
      <c r="V32" s="76"/>
      <c r="W32" s="76"/>
      <c r="X32" s="226"/>
      <c r="Y32" s="76"/>
      <c r="Z32" s="238"/>
    </row>
    <row r="33" spans="1:26" ht="12">
      <c r="A33" s="242" t="s">
        <v>119</v>
      </c>
      <c r="B33" s="1"/>
      <c r="C33" s="1"/>
      <c r="D33" s="251"/>
      <c r="E33" s="1"/>
      <c r="F33" s="1"/>
      <c r="G33" s="1"/>
      <c r="H33" s="1"/>
      <c r="I33" s="1"/>
      <c r="J33" s="76"/>
      <c r="K33" s="1"/>
      <c r="L33" s="1"/>
      <c r="M33" s="1"/>
      <c r="N33" s="1"/>
      <c r="O33" s="1"/>
      <c r="P33" s="76"/>
      <c r="Q33" s="76"/>
      <c r="R33" s="251">
        <v>134538461.35000002</v>
      </c>
      <c r="S33" s="76">
        <v>270613461.35000002</v>
      </c>
      <c r="T33" s="76">
        <v>376748461.35000002</v>
      </c>
      <c r="U33" s="76"/>
      <c r="V33" s="76"/>
      <c r="W33" s="76"/>
      <c r="X33" s="226"/>
      <c r="Y33" s="76"/>
      <c r="Z33" s="238"/>
    </row>
    <row r="34" spans="1:26" ht="12">
      <c r="A34" s="242" t="s">
        <v>120</v>
      </c>
      <c r="B34" s="1"/>
      <c r="C34" s="1"/>
      <c r="D34" s="1"/>
      <c r="E34" s="1"/>
      <c r="F34" s="1"/>
      <c r="G34" s="1"/>
      <c r="H34" s="76"/>
      <c r="I34" s="76"/>
      <c r="J34" s="76"/>
      <c r="K34" s="1"/>
      <c r="L34" s="1"/>
      <c r="M34" s="1"/>
      <c r="N34" s="1"/>
      <c r="O34" s="1"/>
      <c r="P34" s="76"/>
      <c r="Q34" s="76">
        <v>548608539</v>
      </c>
      <c r="R34" s="251">
        <v>858767293</v>
      </c>
      <c r="S34" s="76">
        <v>1043014493</v>
      </c>
      <c r="T34" s="76"/>
      <c r="U34" s="76"/>
      <c r="V34" s="76"/>
      <c r="W34" s="76"/>
      <c r="X34" s="226"/>
      <c r="Y34" s="76"/>
      <c r="Z34" s="238"/>
    </row>
    <row r="35" spans="1:26" ht="12">
      <c r="A35" s="242" t="s">
        <v>121</v>
      </c>
      <c r="B35" s="1"/>
      <c r="C35" s="1"/>
      <c r="D35" s="1"/>
      <c r="E35" s="1"/>
      <c r="F35" s="1"/>
      <c r="G35" s="1"/>
      <c r="H35" s="76"/>
      <c r="I35" s="76"/>
      <c r="J35" s="76"/>
      <c r="K35" s="76"/>
      <c r="L35" s="1"/>
      <c r="M35" s="1"/>
      <c r="N35" s="1"/>
      <c r="O35" s="1"/>
      <c r="P35" s="76">
        <v>862493038</v>
      </c>
      <c r="Q35" s="76">
        <v>1223285704</v>
      </c>
      <c r="R35" s="251"/>
      <c r="S35" s="76"/>
      <c r="T35" s="76"/>
      <c r="U35" s="76"/>
      <c r="V35" s="76"/>
      <c r="W35" s="76"/>
      <c r="X35" s="226"/>
      <c r="Y35" s="76"/>
      <c r="Z35" s="238"/>
    </row>
    <row r="36" spans="1:26" ht="12">
      <c r="A36" s="242" t="s">
        <v>122</v>
      </c>
      <c r="B36" s="1"/>
      <c r="C36" s="1"/>
      <c r="D36" s="1"/>
      <c r="E36" s="1"/>
      <c r="F36" s="1"/>
      <c r="G36" s="1"/>
      <c r="H36" s="1"/>
      <c r="I36" s="1"/>
      <c r="J36" s="76"/>
      <c r="K36" s="1"/>
      <c r="L36" s="1"/>
      <c r="M36" s="1"/>
      <c r="N36" s="1"/>
      <c r="O36" s="1"/>
      <c r="P36" s="76">
        <v>0</v>
      </c>
      <c r="Q36" s="76">
        <v>0</v>
      </c>
      <c r="R36" s="251">
        <v>448500000</v>
      </c>
      <c r="S36" s="76">
        <v>730000000</v>
      </c>
      <c r="T36" s="76"/>
      <c r="U36" s="76"/>
      <c r="V36" s="76"/>
      <c r="W36" s="76"/>
      <c r="X36" s="226"/>
      <c r="Y36" s="76"/>
      <c r="Z36" s="238"/>
    </row>
    <row r="37" spans="1:26" ht="12">
      <c r="A37" s="242" t="s">
        <v>123</v>
      </c>
      <c r="B37" s="1"/>
      <c r="C37" s="1"/>
      <c r="D37" s="1"/>
      <c r="E37" s="1"/>
      <c r="F37" s="1"/>
      <c r="G37" s="1"/>
      <c r="H37" s="1"/>
      <c r="I37" s="1"/>
      <c r="J37" s="76"/>
      <c r="K37" s="1"/>
      <c r="L37" s="1"/>
      <c r="M37" s="251"/>
      <c r="N37" s="251"/>
      <c r="O37" s="251"/>
      <c r="P37" s="76">
        <v>953632600.45000005</v>
      </c>
      <c r="Q37" s="76"/>
      <c r="R37" s="251"/>
      <c r="S37" s="76"/>
      <c r="T37" s="76"/>
      <c r="U37" s="76"/>
      <c r="V37" s="76"/>
      <c r="W37" s="76"/>
      <c r="X37" s="226"/>
      <c r="Y37" s="76"/>
      <c r="Z37" s="238"/>
    </row>
    <row r="38" spans="1:26" ht="12">
      <c r="A38" s="242" t="s">
        <v>124</v>
      </c>
      <c r="B38" s="1"/>
      <c r="C38" s="1"/>
      <c r="D38" s="1"/>
      <c r="E38" s="1"/>
      <c r="F38" s="1"/>
      <c r="G38" s="76"/>
      <c r="H38" s="76"/>
      <c r="I38" s="1"/>
      <c r="J38" s="76"/>
      <c r="K38" s="76"/>
      <c r="L38" s="1"/>
      <c r="M38" s="76"/>
      <c r="N38" s="76">
        <v>578191224.79999995</v>
      </c>
      <c r="O38" s="251">
        <v>897459162.60000002</v>
      </c>
      <c r="P38" s="76"/>
      <c r="Q38" s="76"/>
      <c r="R38" s="251"/>
      <c r="S38" s="76"/>
      <c r="T38" s="76"/>
      <c r="U38" s="76"/>
      <c r="V38" s="76"/>
      <c r="W38" s="76"/>
      <c r="X38" s="226"/>
      <c r="Y38" s="76"/>
      <c r="Z38" s="238"/>
    </row>
    <row r="39" spans="1:26" ht="12">
      <c r="A39" s="242" t="s">
        <v>125</v>
      </c>
      <c r="B39" s="1"/>
      <c r="C39" s="1"/>
      <c r="D39" s="1"/>
      <c r="E39" s="1"/>
      <c r="F39" s="1"/>
      <c r="G39" s="1"/>
      <c r="H39" s="76"/>
      <c r="I39" s="1"/>
      <c r="J39" s="76"/>
      <c r="M39" s="8">
        <v>640700000</v>
      </c>
      <c r="N39" s="76">
        <v>771171000</v>
      </c>
      <c r="O39" s="251"/>
      <c r="P39" s="76"/>
      <c r="Q39" s="76"/>
      <c r="R39" s="251"/>
      <c r="S39" s="76"/>
      <c r="T39" s="76"/>
      <c r="U39" s="76"/>
      <c r="V39" s="76"/>
      <c r="W39" s="76"/>
      <c r="X39" s="226"/>
      <c r="Y39" s="76"/>
      <c r="Z39" s="238"/>
    </row>
    <row r="40" spans="1:26" ht="12">
      <c r="A40" s="242" t="s">
        <v>126</v>
      </c>
      <c r="B40" s="1"/>
      <c r="C40" s="1"/>
      <c r="D40" s="1"/>
      <c r="E40" s="1"/>
      <c r="F40" s="1"/>
      <c r="G40" s="1"/>
      <c r="H40" s="76"/>
      <c r="I40" s="76"/>
      <c r="J40" s="76"/>
      <c r="K40" s="76"/>
      <c r="L40" s="76">
        <v>299926000</v>
      </c>
      <c r="M40" s="8">
        <v>751412213</v>
      </c>
      <c r="N40" s="76"/>
      <c r="O40" s="251"/>
      <c r="P40" s="76"/>
      <c r="Q40" s="76"/>
      <c r="R40" s="251"/>
      <c r="S40" s="76"/>
      <c r="T40" s="76"/>
      <c r="U40" s="76"/>
      <c r="V40" s="76"/>
      <c r="W40" s="76"/>
      <c r="X40" s="226"/>
      <c r="Y40" s="76"/>
      <c r="Z40" s="238"/>
    </row>
    <row r="41" spans="1:26" ht="12">
      <c r="A41" s="242" t="s">
        <v>127</v>
      </c>
      <c r="B41" s="1"/>
      <c r="C41" s="1"/>
      <c r="D41" s="1"/>
      <c r="E41" s="1"/>
      <c r="F41" s="1"/>
      <c r="G41" s="1"/>
      <c r="H41" s="76"/>
      <c r="I41" s="1"/>
      <c r="J41" s="76"/>
      <c r="K41" s="76">
        <v>792403239.60000002</v>
      </c>
      <c r="L41" s="76">
        <v>1074408329.2</v>
      </c>
      <c r="N41" s="76"/>
      <c r="O41" s="251"/>
      <c r="P41" s="76"/>
      <c r="Q41" s="76"/>
      <c r="R41" s="251"/>
      <c r="S41" s="76"/>
      <c r="T41" s="76"/>
      <c r="U41" s="76"/>
      <c r="V41" s="76"/>
      <c r="W41" s="76"/>
      <c r="X41" s="226"/>
      <c r="Y41" s="76"/>
      <c r="Z41" s="238"/>
    </row>
    <row r="42" spans="1:26" ht="12">
      <c r="A42" s="242" t="s">
        <v>145</v>
      </c>
      <c r="B42" s="1"/>
      <c r="C42" s="1"/>
      <c r="D42" s="1"/>
      <c r="E42" s="1"/>
      <c r="F42" s="1"/>
      <c r="G42" s="1"/>
      <c r="H42" s="1"/>
      <c r="I42" s="1"/>
      <c r="J42" s="76">
        <v>826786500.33000004</v>
      </c>
      <c r="K42" s="76">
        <v>1854310800</v>
      </c>
      <c r="L42" s="9"/>
      <c r="M42" s="8"/>
      <c r="N42" s="76"/>
      <c r="O42" s="251"/>
      <c r="P42" s="76"/>
      <c r="Q42" s="76"/>
      <c r="R42" s="251"/>
      <c r="S42" s="76"/>
      <c r="T42" s="76"/>
      <c r="U42" s="76"/>
      <c r="V42" s="76"/>
      <c r="W42" s="76"/>
      <c r="X42" s="226"/>
      <c r="Y42" s="76"/>
      <c r="Z42" s="238"/>
    </row>
    <row r="43" spans="1:26" ht="12">
      <c r="A43" s="242" t="s">
        <v>147</v>
      </c>
      <c r="B43" s="1"/>
      <c r="C43" s="1"/>
      <c r="D43" s="1"/>
      <c r="E43" s="1"/>
      <c r="F43" s="1"/>
      <c r="G43" s="1"/>
      <c r="H43" s="76"/>
      <c r="I43" s="76">
        <v>356484900</v>
      </c>
      <c r="J43" s="76">
        <v>911328213.44000006</v>
      </c>
      <c r="L43" s="76"/>
      <c r="M43" s="8"/>
      <c r="N43" s="76"/>
      <c r="O43" s="251"/>
      <c r="P43" s="76"/>
      <c r="Q43" s="76"/>
      <c r="R43" s="251"/>
      <c r="S43" s="76"/>
      <c r="T43" s="76"/>
      <c r="U43" s="76"/>
      <c r="V43" s="76"/>
      <c r="W43" s="76"/>
      <c r="X43" s="226"/>
      <c r="Y43" s="76"/>
      <c r="Z43" s="238"/>
    </row>
    <row r="44" spans="1:26" ht="12">
      <c r="A44" s="242" t="s">
        <v>151</v>
      </c>
      <c r="B44" s="1"/>
      <c r="C44" s="1"/>
      <c r="D44" s="1"/>
      <c r="E44" s="1"/>
      <c r="F44" s="1"/>
      <c r="G44" s="76"/>
      <c r="H44" s="76">
        <v>127037484.27000013</v>
      </c>
      <c r="I44" s="76">
        <v>858175818.78999996</v>
      </c>
      <c r="K44" s="76"/>
      <c r="L44" s="76"/>
      <c r="M44" s="8"/>
      <c r="N44" s="76"/>
      <c r="O44" s="251"/>
      <c r="P44" s="76"/>
      <c r="Q44" s="76"/>
      <c r="R44" s="251"/>
      <c r="S44" s="76"/>
      <c r="T44" s="76"/>
      <c r="U44" s="76"/>
      <c r="V44" s="76"/>
      <c r="W44" s="76"/>
      <c r="X44" s="226"/>
      <c r="Y44" s="76"/>
      <c r="Z44" s="238"/>
    </row>
    <row r="45" spans="1:26" ht="12">
      <c r="A45" s="242" t="s">
        <v>162</v>
      </c>
      <c r="B45" s="1"/>
      <c r="C45" s="1"/>
      <c r="D45" s="1"/>
      <c r="E45" s="76"/>
      <c r="F45" s="76"/>
      <c r="G45" s="76">
        <v>295907040</v>
      </c>
      <c r="H45" s="76">
        <v>767572009.92449999</v>
      </c>
      <c r="J45" s="76"/>
      <c r="K45" s="76"/>
      <c r="L45" s="76"/>
      <c r="M45" s="8"/>
      <c r="N45" s="76"/>
      <c r="O45" s="251"/>
      <c r="P45" s="76"/>
      <c r="Q45" s="76"/>
      <c r="R45" s="251"/>
      <c r="S45" s="76"/>
      <c r="T45" s="76"/>
      <c r="U45" s="76"/>
      <c r="V45" s="76"/>
      <c r="W45" s="76"/>
      <c r="X45" s="226"/>
      <c r="Y45" s="76"/>
      <c r="Z45" s="238"/>
    </row>
    <row r="46" spans="1:26" ht="12">
      <c r="A46" s="242" t="s">
        <v>159</v>
      </c>
      <c r="B46" s="1"/>
      <c r="C46" s="1"/>
      <c r="D46" s="1"/>
      <c r="E46" s="251"/>
      <c r="F46" s="251">
        <v>101136362.40000001</v>
      </c>
      <c r="G46" s="76">
        <v>837424700.89999998</v>
      </c>
      <c r="H46" s="76"/>
      <c r="I46" s="76"/>
      <c r="J46" s="76"/>
      <c r="K46" s="76"/>
      <c r="L46" s="76"/>
      <c r="M46" s="8"/>
      <c r="N46" s="76"/>
      <c r="O46" s="251"/>
      <c r="P46" s="76"/>
      <c r="Q46" s="76"/>
      <c r="R46" s="251"/>
      <c r="S46" s="76"/>
      <c r="T46" s="76"/>
      <c r="U46" s="76"/>
      <c r="V46" s="76"/>
      <c r="W46" s="76"/>
      <c r="X46" s="226"/>
      <c r="Y46" s="76"/>
      <c r="Z46" s="238"/>
    </row>
    <row r="47" spans="1:26" ht="12">
      <c r="A47" s="242" t="s">
        <v>170</v>
      </c>
      <c r="B47" s="1"/>
      <c r="C47" s="1"/>
      <c r="D47" s="83"/>
      <c r="E47" s="76">
        <v>155457648</v>
      </c>
      <c r="F47" s="76">
        <v>828605297</v>
      </c>
      <c r="G47" s="76"/>
      <c r="H47" s="76"/>
      <c r="I47" s="76"/>
      <c r="J47" s="76"/>
      <c r="K47" s="76"/>
      <c r="L47" s="76"/>
      <c r="M47" s="8"/>
      <c r="N47" s="76"/>
      <c r="O47" s="251"/>
      <c r="P47" s="76"/>
      <c r="Q47" s="76"/>
      <c r="R47" s="251"/>
      <c r="S47" s="76"/>
      <c r="T47" s="76"/>
      <c r="U47" s="76"/>
      <c r="V47" s="76"/>
      <c r="W47" s="76"/>
      <c r="X47" s="226"/>
      <c r="Y47" s="76"/>
      <c r="Z47" s="238"/>
    </row>
    <row r="48" spans="1:26" ht="12">
      <c r="A48" s="242" t="s">
        <v>238</v>
      </c>
      <c r="B48" s="1"/>
      <c r="C48" s="1"/>
      <c r="D48" s="83">
        <v>72896025.790000007</v>
      </c>
      <c r="E48" s="76">
        <v>672137983.49000001</v>
      </c>
      <c r="F48" s="76"/>
      <c r="G48" s="76"/>
      <c r="H48" s="76"/>
      <c r="I48" s="76"/>
      <c r="J48" s="76"/>
      <c r="K48" s="76"/>
      <c r="L48" s="76"/>
      <c r="M48" s="8"/>
      <c r="N48" s="76"/>
      <c r="O48" s="251"/>
      <c r="P48" s="76"/>
      <c r="Q48" s="76"/>
      <c r="R48" s="251"/>
      <c r="S48" s="76"/>
      <c r="T48" s="76"/>
      <c r="U48" s="76"/>
      <c r="V48" s="76"/>
      <c r="W48" s="76"/>
      <c r="X48" s="226"/>
      <c r="Y48" s="76"/>
      <c r="Z48" s="238"/>
    </row>
    <row r="49" spans="1:26" ht="12">
      <c r="A49" s="242" t="s">
        <v>263</v>
      </c>
      <c r="B49" s="9"/>
      <c r="C49" s="9">
        <v>96566161.709999993</v>
      </c>
      <c r="D49" s="83">
        <v>315590198.31</v>
      </c>
      <c r="E49" s="76"/>
      <c r="F49" s="76"/>
      <c r="G49" s="76"/>
      <c r="H49" s="76"/>
      <c r="I49" s="76"/>
      <c r="J49" s="76"/>
      <c r="K49" s="76"/>
      <c r="L49" s="76"/>
      <c r="M49" s="8"/>
      <c r="N49" s="76"/>
      <c r="O49" s="251"/>
      <c r="P49" s="76"/>
      <c r="Q49" s="76"/>
      <c r="R49" s="251"/>
      <c r="S49" s="76"/>
      <c r="T49" s="76"/>
      <c r="U49" s="76"/>
      <c r="V49" s="76"/>
      <c r="W49" s="76"/>
      <c r="X49" s="226"/>
      <c r="Y49" s="76"/>
      <c r="Z49" s="238"/>
    </row>
    <row r="50" spans="1:26" ht="12">
      <c r="A50" s="242" t="s">
        <v>326</v>
      </c>
      <c r="B50" s="9">
        <f>'2023 CF'!M46</f>
        <v>602482584.42999971</v>
      </c>
      <c r="C50" s="9">
        <v>1040101500.4799997</v>
      </c>
      <c r="D50" s="83"/>
      <c r="E50" s="76"/>
      <c r="F50" s="76"/>
      <c r="G50" s="76"/>
      <c r="H50" s="76"/>
      <c r="I50" s="76"/>
      <c r="J50" s="76"/>
      <c r="K50" s="76"/>
      <c r="L50" s="76"/>
      <c r="M50" s="8"/>
      <c r="N50" s="76"/>
      <c r="O50" s="251"/>
      <c r="P50" s="76"/>
      <c r="Q50" s="76"/>
      <c r="R50" s="251"/>
      <c r="S50" s="76"/>
      <c r="T50" s="76"/>
      <c r="U50" s="76"/>
      <c r="V50" s="76"/>
      <c r="W50" s="76"/>
      <c r="X50" s="226"/>
      <c r="Y50" s="76"/>
      <c r="Z50" s="238"/>
    </row>
    <row r="51" spans="1:26" ht="12">
      <c r="A51" s="242" t="s">
        <v>619</v>
      </c>
      <c r="B51" s="9">
        <f>'2024 CF'!M107</f>
        <v>1959616866.6700001</v>
      </c>
      <c r="C51" s="9"/>
      <c r="D51" s="83"/>
      <c r="E51" s="76"/>
      <c r="F51" s="76"/>
      <c r="G51" s="76"/>
      <c r="H51" s="76"/>
      <c r="I51" s="76"/>
      <c r="J51" s="76"/>
      <c r="K51" s="76"/>
      <c r="L51" s="76"/>
      <c r="M51" s="8"/>
      <c r="N51" s="76"/>
      <c r="O51" s="251"/>
      <c r="P51" s="76"/>
      <c r="Q51" s="76"/>
      <c r="R51" s="251"/>
      <c r="S51" s="76"/>
      <c r="T51" s="76"/>
      <c r="U51" s="76"/>
      <c r="V51" s="76"/>
      <c r="W51" s="76"/>
      <c r="X51" s="226"/>
      <c r="Y51" s="76"/>
      <c r="Z51" s="238"/>
    </row>
    <row r="52" spans="1:26" ht="12">
      <c r="A52" s="242" t="s">
        <v>128</v>
      </c>
      <c r="B52" s="76"/>
      <c r="C52" s="76">
        <v>2606528034.8699999</v>
      </c>
      <c r="D52" s="83">
        <v>2403738397.4299998</v>
      </c>
      <c r="E52" s="76">
        <v>1873319179.1600001</v>
      </c>
      <c r="F52" s="76">
        <v>1756580668</v>
      </c>
      <c r="G52" s="76">
        <v>1844727688.3000002</v>
      </c>
      <c r="H52" s="76">
        <v>2481381410.8499999</v>
      </c>
      <c r="I52" s="76">
        <v>2644975579</v>
      </c>
      <c r="J52" s="76">
        <v>1571292238.1500001</v>
      </c>
      <c r="K52" s="76">
        <v>2201486119.4400001</v>
      </c>
      <c r="L52" s="76">
        <v>2440169300</v>
      </c>
      <c r="M52" s="8">
        <v>2373598300</v>
      </c>
      <c r="N52" s="76">
        <v>1282771000</v>
      </c>
      <c r="O52" s="251">
        <v>951896000</v>
      </c>
      <c r="P52" s="76">
        <v>1135180000</v>
      </c>
      <c r="Q52" s="76">
        <v>1528909710.3000002</v>
      </c>
      <c r="R52" s="251">
        <v>1734920489.2</v>
      </c>
      <c r="S52" s="76"/>
      <c r="T52" s="76"/>
      <c r="U52" s="76"/>
      <c r="V52" s="76"/>
      <c r="W52" s="76"/>
      <c r="X52" s="226"/>
      <c r="Y52" s="76"/>
      <c r="Z52" s="238"/>
    </row>
    <row r="53" spans="1:26" ht="12">
      <c r="A53" s="242"/>
      <c r="B53" s="76">
        <f>SUM(B8:B52)</f>
        <v>2623665612.8099999</v>
      </c>
      <c r="C53" s="76">
        <v>6605137246.5299997</v>
      </c>
      <c r="D53" s="76">
        <v>6304463450.6499996</v>
      </c>
      <c r="E53" s="76">
        <v>5934395837.3999996</v>
      </c>
      <c r="F53" s="76">
        <v>6207742918.8999996</v>
      </c>
      <c r="G53" s="76">
        <v>6420558409.0945005</v>
      </c>
      <c r="H53" s="76">
        <v>6873330023.3945007</v>
      </c>
      <c r="I53" s="76">
        <v>6281389530.1499996</v>
      </c>
      <c r="J53" s="76">
        <v>7634459758.04</v>
      </c>
      <c r="K53" s="9">
        <v>6561415028.2000008</v>
      </c>
      <c r="L53" s="9">
        <v>6459406313</v>
      </c>
      <c r="M53" s="8">
        <v>5276952525</v>
      </c>
      <c r="N53" s="76">
        <v>4717858331.6000004</v>
      </c>
      <c r="O53" s="76">
        <v>5390400333.6000004</v>
      </c>
      <c r="P53" s="76">
        <v>5789638391.1499996</v>
      </c>
      <c r="Q53" s="76">
        <v>5407133423.6500006</v>
      </c>
      <c r="R53" s="251">
        <v>4469135614.3500004</v>
      </c>
      <c r="S53" s="76">
        <v>2761268210.4877172</v>
      </c>
      <c r="T53" s="76">
        <v>2705835313</v>
      </c>
      <c r="U53" s="76">
        <v>2769519169</v>
      </c>
      <c r="V53" s="76">
        <v>2598659516.5500002</v>
      </c>
      <c r="W53" s="76">
        <v>2154684751.5500002</v>
      </c>
      <c r="X53" s="226">
        <v>1826186494</v>
      </c>
      <c r="Y53" s="76">
        <v>1662576350</v>
      </c>
      <c r="Z53" s="238">
        <v>1322304905</v>
      </c>
    </row>
    <row r="54" spans="1:26" ht="12.6" thickBot="1">
      <c r="A54" s="244"/>
      <c r="B54" s="387"/>
      <c r="C54" s="387"/>
      <c r="D54" s="387"/>
      <c r="E54" s="344"/>
      <c r="F54" s="344"/>
      <c r="G54" s="245"/>
      <c r="H54" s="245"/>
      <c r="I54" s="245">
        <v>0.99999999971821518</v>
      </c>
      <c r="J54" s="245"/>
      <c r="K54" s="245"/>
      <c r="L54" s="245"/>
      <c r="M54" s="245"/>
      <c r="N54" s="245"/>
      <c r="O54" s="245"/>
      <c r="P54" s="245"/>
      <c r="Q54" s="245"/>
      <c r="R54" s="245"/>
      <c r="S54" s="245"/>
      <c r="T54" s="245"/>
      <c r="U54" s="245"/>
      <c r="V54" s="245"/>
      <c r="W54" s="245"/>
      <c r="X54" s="246"/>
      <c r="Y54" s="247"/>
      <c r="Z54" s="248"/>
    </row>
    <row r="55" spans="1:26" ht="13.2">
      <c r="A55" s="1"/>
      <c r="B55" s="1"/>
      <c r="C55" s="1"/>
      <c r="D55" s="1"/>
      <c r="E55" s="1"/>
      <c r="F55" s="1"/>
      <c r="G55" s="1">
        <v>0.9999999998520378</v>
      </c>
      <c r="H55" s="1">
        <v>1.0000000000879488</v>
      </c>
      <c r="I55" s="1"/>
      <c r="J55" s="1"/>
      <c r="K55" s="83">
        <v>4848200159.04</v>
      </c>
      <c r="L55" s="1"/>
      <c r="M55" s="1"/>
      <c r="N55" s="1"/>
      <c r="O55">
        <v>653270937.39999998</v>
      </c>
      <c r="P55" s="249"/>
      <c r="Q55" s="76"/>
      <c r="R55" s="76"/>
      <c r="S55" s="76"/>
      <c r="T55">
        <v>1621413093.6500001</v>
      </c>
      <c r="U55" s="76"/>
      <c r="V55" s="143"/>
      <c r="W55" s="143"/>
      <c r="Z55" s="250"/>
    </row>
    <row r="56" spans="1:26" ht="12">
      <c r="A56" t="s">
        <v>10</v>
      </c>
      <c r="K56" s="249"/>
      <c r="L56">
        <v>2440169300</v>
      </c>
      <c r="M56">
        <v>2373598300</v>
      </c>
      <c r="N56">
        <v>2024812688</v>
      </c>
      <c r="O56" s="76"/>
      <c r="P56" s="249"/>
      <c r="Q56" s="249">
        <v>1528909710.3000002</v>
      </c>
      <c r="R56">
        <v>1734920489.2</v>
      </c>
      <c r="S56" s="76">
        <v>18660702.037717462</v>
      </c>
      <c r="T56" s="76"/>
      <c r="U56">
        <v>1384280849.5</v>
      </c>
    </row>
    <row r="57" spans="1:26" ht="12">
      <c r="A57" s="1" t="s">
        <v>132</v>
      </c>
      <c r="B57" s="1"/>
      <c r="C57" s="1"/>
      <c r="D57" s="1"/>
      <c r="E57" s="167">
        <v>1374754330.8399999</v>
      </c>
      <c r="F57" s="1">
        <v>1473102822</v>
      </c>
      <c r="G57" s="1">
        <v>1199839816.7</v>
      </c>
      <c r="H57" s="1">
        <v>532312314.14999998</v>
      </c>
      <c r="I57" s="1">
        <v>327007000</v>
      </c>
      <c r="J57" s="1">
        <v>1214967360.8499999</v>
      </c>
      <c r="K57" s="1">
        <v>545425279.55999994</v>
      </c>
      <c r="L57" s="76">
        <v>255526500</v>
      </c>
      <c r="M57" s="76">
        <v>271221000</v>
      </c>
      <c r="N57" s="76">
        <v>450811597</v>
      </c>
      <c r="O57">
        <v>690691078</v>
      </c>
      <c r="P57" s="249">
        <v>246387499.69999999</v>
      </c>
      <c r="Q57" s="76">
        <v>701497469.69999993</v>
      </c>
      <c r="R57" s="76">
        <v>454507170.80000001</v>
      </c>
      <c r="S57" s="76">
        <v>970197105.10000002</v>
      </c>
      <c r="T57">
        <v>1998161555</v>
      </c>
      <c r="U57" s="76">
        <v>1828797440</v>
      </c>
      <c r="V57" s="143">
        <v>1799201760</v>
      </c>
      <c r="W57" s="143">
        <v>1919439720</v>
      </c>
      <c r="X57">
        <v>1670078156</v>
      </c>
    </row>
    <row r="58" spans="1:26" ht="12">
      <c r="A58" s="1" t="s">
        <v>133</v>
      </c>
      <c r="B58" s="1"/>
      <c r="C58" s="1"/>
      <c r="D58" s="1"/>
      <c r="E58" s="167">
        <v>1833726695.51</v>
      </c>
      <c r="F58" s="76">
        <v>1907960729.5</v>
      </c>
      <c r="G58" s="76">
        <v>2160654107.2744999</v>
      </c>
      <c r="H58" s="76">
        <v>2665474904.2000003</v>
      </c>
      <c r="I58" s="76">
        <v>1620074732.3600001</v>
      </c>
      <c r="J58" s="76">
        <v>2595250445.27</v>
      </c>
      <c r="K58" s="76">
        <v>867863589.60000002</v>
      </c>
      <c r="L58" s="76">
        <v>1766793183.8</v>
      </c>
      <c r="M58" s="76">
        <v>892560804</v>
      </c>
      <c r="N58" s="76">
        <v>584579150.79999995</v>
      </c>
      <c r="O58" s="76">
        <v>653270937.39999998</v>
      </c>
      <c r="P58" s="76">
        <v>964230709</v>
      </c>
      <c r="Q58" s="76">
        <v>859699500</v>
      </c>
      <c r="R58" s="76">
        <v>320322200</v>
      </c>
      <c r="S58" s="76"/>
      <c r="T58" s="76"/>
      <c r="U58" s="76"/>
      <c r="V58" s="76"/>
      <c r="W58" s="76"/>
      <c r="X58" s="76"/>
    </row>
    <row r="59" spans="1:26" ht="12">
      <c r="A59" s="1" t="s">
        <v>134</v>
      </c>
      <c r="B59" s="1"/>
      <c r="C59" s="1"/>
      <c r="D59" s="1"/>
      <c r="E59" s="167"/>
      <c r="F59" s="76"/>
      <c r="G59" s="76"/>
      <c r="H59" s="76"/>
      <c r="I59" s="76"/>
      <c r="J59" s="76"/>
      <c r="K59" s="76"/>
      <c r="L59" s="76"/>
      <c r="M59" s="76"/>
      <c r="N59" s="76"/>
      <c r="O59" s="76"/>
      <c r="P59" s="76"/>
      <c r="Q59" s="76">
        <v>398500000</v>
      </c>
      <c r="R59" s="76">
        <v>281500000</v>
      </c>
      <c r="S59" s="76"/>
      <c r="U59" s="76"/>
      <c r="V59" s="76"/>
      <c r="W59" s="76"/>
      <c r="X59" s="76"/>
    </row>
    <row r="60" spans="1:26" ht="12">
      <c r="A60" s="1" t="s">
        <v>135</v>
      </c>
      <c r="B60" s="1"/>
      <c r="C60" s="1"/>
      <c r="D60" s="1"/>
      <c r="E60" s="167">
        <v>1873319179.1600001</v>
      </c>
      <c r="F60" s="1">
        <v>1756580668</v>
      </c>
      <c r="G60" s="1">
        <v>1844727688.3</v>
      </c>
      <c r="H60" s="76"/>
      <c r="I60" s="1"/>
      <c r="J60" s="1"/>
      <c r="K60" s="1"/>
      <c r="L60" s="1"/>
      <c r="M60" s="1"/>
      <c r="N60" s="1"/>
      <c r="O60">
        <v>1444090712.5999999</v>
      </c>
      <c r="P60" s="249">
        <v>1382940643</v>
      </c>
      <c r="Q60" s="76">
        <v>1918526743.3499999</v>
      </c>
      <c r="R60" s="76">
        <v>1677885754.3499999</v>
      </c>
      <c r="S60" s="76">
        <v>1772410403.3499999</v>
      </c>
      <c r="T60">
        <v>707673758</v>
      </c>
      <c r="U60" s="76">
        <v>940721729</v>
      </c>
      <c r="V60" s="76">
        <v>799457756.54999995</v>
      </c>
      <c r="W60" s="76">
        <v>235245031.55000001</v>
      </c>
      <c r="X60" s="76">
        <v>156108338</v>
      </c>
    </row>
    <row r="61" spans="1:26" ht="12">
      <c r="A61" s="1"/>
      <c r="B61" s="1"/>
      <c r="C61" s="1"/>
      <c r="D61" s="1"/>
      <c r="E61" s="167"/>
      <c r="F61" s="140"/>
      <c r="G61" s="140"/>
      <c r="H61" s="1"/>
      <c r="I61" s="1"/>
      <c r="J61" s="1"/>
      <c r="K61" s="1"/>
      <c r="L61" s="1"/>
      <c r="M61" s="1"/>
      <c r="N61" s="1"/>
      <c r="O61" s="251"/>
      <c r="P61" s="76"/>
      <c r="Q61" s="76">
        <v>5407133423.3500004</v>
      </c>
      <c r="R61" s="76">
        <v>4469135614.3500004</v>
      </c>
      <c r="S61" s="76">
        <v>2761268210.4877176</v>
      </c>
      <c r="T61" s="76">
        <v>2705835313</v>
      </c>
      <c r="U61" s="76">
        <v>2769519169</v>
      </c>
      <c r="V61" s="76">
        <v>2598659516.5500002</v>
      </c>
      <c r="W61" s="76">
        <v>2154684751.5500002</v>
      </c>
      <c r="X61" s="76">
        <v>1826186494</v>
      </c>
    </row>
    <row r="62" spans="1:26" ht="12">
      <c r="E62" s="259"/>
      <c r="P62" s="249"/>
      <c r="Q62" s="76"/>
      <c r="R62" s="81"/>
      <c r="S62" s="81"/>
      <c r="T62" s="81"/>
      <c r="U62" s="81"/>
      <c r="V62" s="81"/>
      <c r="W62" s="81"/>
      <c r="X62" s="81"/>
    </row>
    <row r="63" spans="1:26">
      <c r="A63" t="s">
        <v>136</v>
      </c>
      <c r="E63" s="259">
        <v>3208481026.3499999</v>
      </c>
      <c r="F63">
        <v>3381063551.5</v>
      </c>
      <c r="G63" s="249"/>
      <c r="J63">
        <v>3810217806.1199999</v>
      </c>
      <c r="M63" s="249"/>
      <c r="N63" s="249"/>
      <c r="O63">
        <v>1343962015.4000001</v>
      </c>
      <c r="P63" s="249">
        <v>1210618208.7</v>
      </c>
      <c r="Q63" s="249">
        <v>1959696969.6999998</v>
      </c>
      <c r="S63">
        <v>0.47748921283094414</v>
      </c>
      <c r="T63">
        <v>1</v>
      </c>
      <c r="U63">
        <v>1</v>
      </c>
    </row>
    <row r="64" spans="1:26" ht="12">
      <c r="A64" s="1"/>
      <c r="B64" s="1"/>
      <c r="C64" s="1"/>
      <c r="D64" s="1"/>
      <c r="E64" s="76"/>
      <c r="F64" s="76"/>
      <c r="G64" s="1"/>
      <c r="H64" s="1"/>
      <c r="I64" s="1"/>
      <c r="J64" s="76"/>
      <c r="K64" s="1"/>
      <c r="L64" s="1"/>
      <c r="M64" s="1"/>
      <c r="N64" s="1"/>
      <c r="O64" s="76">
        <v>533175100</v>
      </c>
      <c r="P64" s="76"/>
      <c r="Q64" s="76"/>
      <c r="S64" s="252">
        <v>2.4307701250055427</v>
      </c>
      <c r="T64" s="252">
        <v>0.999660976358409</v>
      </c>
      <c r="U64" s="143">
        <v>1</v>
      </c>
    </row>
    <row r="65" spans="1:26" ht="12">
      <c r="J65">
        <v>-1.4901161193847656E-7</v>
      </c>
      <c r="O65" s="76"/>
      <c r="S65" s="252">
        <v>1.000086924188901</v>
      </c>
      <c r="T65" s="252">
        <v>0.9999113108571327</v>
      </c>
      <c r="U65" s="143">
        <v>1</v>
      </c>
      <c r="Y65" s="253"/>
    </row>
    <row r="66" spans="1:26" ht="12">
      <c r="G66" s="198"/>
      <c r="H66" s="198"/>
      <c r="I66" s="198">
        <v>1</v>
      </c>
      <c r="J66" s="249"/>
      <c r="K66">
        <v>0.82037716162898355</v>
      </c>
      <c r="S66" s="254"/>
      <c r="T66" s="254"/>
      <c r="U66" s="255"/>
      <c r="Y66" s="256"/>
    </row>
    <row r="67" spans="1:26" ht="12">
      <c r="A67" t="s">
        <v>137</v>
      </c>
      <c r="G67">
        <v>0</v>
      </c>
      <c r="H67">
        <v>0</v>
      </c>
      <c r="I67">
        <v>0.76999998092651367</v>
      </c>
      <c r="J67">
        <v>0.9999997615814209</v>
      </c>
      <c r="Y67" s="257"/>
    </row>
    <row r="68" spans="1:26" ht="12">
      <c r="A68" s="1" t="s">
        <v>138</v>
      </c>
      <c r="B68" s="1"/>
      <c r="C68" s="1"/>
      <c r="D68" s="1"/>
      <c r="E68" s="1"/>
      <c r="F68" s="1"/>
      <c r="G68" s="83">
        <v>0.94999992847442627</v>
      </c>
      <c r="H68" s="83">
        <v>-0.6045001745223999</v>
      </c>
      <c r="I68" s="83"/>
      <c r="J68" s="76">
        <v>-8.9406967163085938E-8</v>
      </c>
      <c r="K68" s="76"/>
      <c r="L68" s="251"/>
      <c r="M68" s="251"/>
      <c r="N68" s="251"/>
      <c r="O68" s="251"/>
      <c r="P68" s="251"/>
      <c r="Q68" s="251"/>
      <c r="R68" s="251"/>
      <c r="S68" s="251"/>
      <c r="T68" s="251"/>
      <c r="U68" s="251"/>
      <c r="Y68" s="256"/>
    </row>
    <row r="69" spans="1:26" ht="12">
      <c r="A69" s="1"/>
      <c r="B69" s="1"/>
      <c r="C69" s="1"/>
      <c r="D69" s="1"/>
      <c r="E69" s="1"/>
      <c r="F69" s="1"/>
      <c r="G69" s="76"/>
      <c r="H69" s="251"/>
      <c r="I69" s="251"/>
      <c r="J69" s="76"/>
      <c r="K69" s="76"/>
      <c r="L69" s="76"/>
      <c r="M69" s="251"/>
      <c r="N69" s="251"/>
      <c r="O69" s="251"/>
      <c r="P69" s="251"/>
      <c r="Q69" s="251"/>
      <c r="R69" s="251"/>
      <c r="S69" s="251"/>
      <c r="T69" s="251"/>
      <c r="U69" s="251"/>
      <c r="Y69" s="1"/>
    </row>
    <row r="70" spans="1:26">
      <c r="L70" s="249"/>
    </row>
    <row r="71" spans="1:26">
      <c r="J71">
        <v>2017</v>
      </c>
      <c r="K71">
        <v>2016</v>
      </c>
      <c r="L71" s="258">
        <v>2015</v>
      </c>
      <c r="M71" s="259">
        <v>2014</v>
      </c>
      <c r="N71" s="259">
        <v>2013</v>
      </c>
      <c r="O71">
        <v>2012</v>
      </c>
      <c r="P71">
        <v>2011</v>
      </c>
      <c r="Q71">
        <v>2010</v>
      </c>
      <c r="R71">
        <v>2009</v>
      </c>
      <c r="S71">
        <v>2008</v>
      </c>
      <c r="T71">
        <v>2007</v>
      </c>
      <c r="U71">
        <v>2006</v>
      </c>
      <c r="V71">
        <v>2005</v>
      </c>
      <c r="W71">
        <v>2004</v>
      </c>
      <c r="X71">
        <v>2003</v>
      </c>
      <c r="Y71" t="s">
        <v>129</v>
      </c>
      <c r="Z71" t="s">
        <v>130</v>
      </c>
    </row>
    <row r="72" spans="1:26">
      <c r="A72" t="s">
        <v>56</v>
      </c>
      <c r="J72" s="212">
        <v>3029932174.5700002</v>
      </c>
      <c r="K72" s="212">
        <v>310068279.56</v>
      </c>
      <c r="L72" s="212">
        <v>1282090213</v>
      </c>
      <c r="M72" s="212">
        <v>726532000</v>
      </c>
      <c r="N72" s="212">
        <v>675757940</v>
      </c>
      <c r="O72" s="212">
        <v>762006178</v>
      </c>
      <c r="P72" s="212">
        <v>917248209</v>
      </c>
      <c r="Q72" s="212">
        <v>399142544</v>
      </c>
      <c r="R72" s="212">
        <v>326297020</v>
      </c>
      <c r="S72" s="212">
        <v>134240000</v>
      </c>
      <c r="T72" s="212">
        <v>627287536.5</v>
      </c>
      <c r="U72" s="212">
        <v>618272849.5</v>
      </c>
      <c r="V72" s="212">
        <v>273345311</v>
      </c>
      <c r="W72" s="212">
        <v>352404145</v>
      </c>
      <c r="X72" s="212">
        <v>271521463</v>
      </c>
      <c r="Y72" s="212">
        <v>453396662</v>
      </c>
      <c r="Z72" s="212">
        <v>418475905</v>
      </c>
    </row>
    <row r="73" spans="1:26" ht="12">
      <c r="A73" s="1" t="s">
        <v>57</v>
      </c>
      <c r="B73" s="1"/>
      <c r="C73" s="1"/>
      <c r="D73" s="1"/>
      <c r="E73" s="1"/>
      <c r="F73" s="1"/>
      <c r="G73" s="1"/>
      <c r="H73" s="1"/>
      <c r="I73" s="1"/>
      <c r="J73" s="249"/>
      <c r="K73" s="249"/>
      <c r="L73" s="249"/>
      <c r="M73" s="249"/>
      <c r="N73" s="249"/>
      <c r="O73" s="76">
        <v>99995837.400000006</v>
      </c>
      <c r="P73" s="76">
        <v>124994999.7</v>
      </c>
      <c r="Q73" s="76">
        <v>95279609.400000006</v>
      </c>
      <c r="R73" s="76">
        <v>24999100.800000001</v>
      </c>
      <c r="S73" s="76">
        <v>74997184.099999994</v>
      </c>
      <c r="T73" s="76">
        <v>99999895.150000006</v>
      </c>
      <c r="U73" s="76">
        <v>0</v>
      </c>
      <c r="V73" s="76">
        <v>0</v>
      </c>
      <c r="W73" s="76">
        <v>25000000</v>
      </c>
      <c r="X73" s="76">
        <v>100000000</v>
      </c>
      <c r="Y73" s="76">
        <v>120000000</v>
      </c>
      <c r="Z73" s="76">
        <v>0</v>
      </c>
    </row>
    <row r="74" spans="1:26" ht="12">
      <c r="A74" s="1" t="s">
        <v>58</v>
      </c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76">
        <v>10000000</v>
      </c>
      <c r="P74" s="76">
        <v>13300000</v>
      </c>
      <c r="Q74" s="76">
        <v>3440000</v>
      </c>
      <c r="R74" s="76">
        <v>16043250</v>
      </c>
      <c r="S74" s="76">
        <v>40869207</v>
      </c>
      <c r="T74" s="76">
        <v>19402500</v>
      </c>
      <c r="U74" s="76">
        <v>0</v>
      </c>
      <c r="V74" s="76">
        <v>7225000</v>
      </c>
      <c r="W74" s="76">
        <v>10000000</v>
      </c>
      <c r="X74" s="76">
        <v>3700000</v>
      </c>
      <c r="Y74" s="76">
        <v>0</v>
      </c>
      <c r="Z74" s="76">
        <v>0</v>
      </c>
    </row>
    <row r="75" spans="1:26" ht="12">
      <c r="A75" s="1" t="s">
        <v>59</v>
      </c>
      <c r="B75" s="1"/>
      <c r="C75" s="1"/>
      <c r="D75" s="1"/>
      <c r="E75" s="1"/>
      <c r="F75" s="1"/>
      <c r="G75" s="1"/>
      <c r="H75" s="1"/>
      <c r="I75" s="1"/>
      <c r="J75" s="1">
        <v>601072000</v>
      </c>
      <c r="K75" s="1">
        <v>578830500</v>
      </c>
      <c r="L75" s="1">
        <v>497506500</v>
      </c>
      <c r="M75" s="1">
        <v>197095000</v>
      </c>
      <c r="N75" s="1">
        <v>173205000</v>
      </c>
      <c r="O75" s="76">
        <v>110425000</v>
      </c>
      <c r="P75" s="76">
        <v>69875000</v>
      </c>
      <c r="Q75" s="76">
        <v>36325000</v>
      </c>
      <c r="R75" s="76">
        <v>28690000</v>
      </c>
      <c r="S75" s="76">
        <v>124665714</v>
      </c>
      <c r="T75" s="76">
        <v>368269000</v>
      </c>
      <c r="U75" s="76">
        <v>431337562</v>
      </c>
      <c r="V75" s="76">
        <v>537100000</v>
      </c>
      <c r="W75" s="76">
        <v>482250000</v>
      </c>
      <c r="X75" s="76">
        <v>512176000</v>
      </c>
      <c r="Y75" s="76">
        <v>365185169</v>
      </c>
      <c r="Z75" s="76">
        <v>319584000</v>
      </c>
    </row>
    <row r="76" spans="1:26" ht="12">
      <c r="A76" s="1" t="s">
        <v>60</v>
      </c>
      <c r="B76" s="1"/>
      <c r="C76" s="1"/>
      <c r="D76" s="1"/>
      <c r="E76" s="1"/>
      <c r="F76" s="1"/>
      <c r="G76" s="1"/>
      <c r="H76" s="1"/>
      <c r="I76" s="1"/>
      <c r="J76" s="76"/>
      <c r="K76" s="76"/>
      <c r="L76" s="76"/>
      <c r="M76" s="76"/>
      <c r="N76" s="76"/>
      <c r="O76" s="76">
        <v>0</v>
      </c>
      <c r="P76" s="76">
        <v>0</v>
      </c>
      <c r="Q76" s="76">
        <v>293850000</v>
      </c>
      <c r="R76" s="76">
        <v>0</v>
      </c>
      <c r="S76" s="76">
        <v>58500000</v>
      </c>
      <c r="T76" s="76">
        <v>240405000</v>
      </c>
      <c r="U76" s="76">
        <v>191945000</v>
      </c>
      <c r="V76" s="76">
        <v>656050000</v>
      </c>
      <c r="W76" s="76">
        <v>296200000</v>
      </c>
      <c r="X76" s="76">
        <v>140000000</v>
      </c>
      <c r="Y76" s="76">
        <v>139500000</v>
      </c>
      <c r="Z76" s="76">
        <v>136840000</v>
      </c>
    </row>
    <row r="77" spans="1:26" ht="12">
      <c r="A77" s="1" t="s">
        <v>61</v>
      </c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76">
        <v>361535000</v>
      </c>
      <c r="P77" s="76">
        <v>85200000</v>
      </c>
      <c r="Q77" s="76">
        <v>588510316.29999995</v>
      </c>
      <c r="R77" s="76">
        <v>358800000</v>
      </c>
      <c r="S77" s="76">
        <v>658300000</v>
      </c>
      <c r="T77" s="76">
        <v>571735471</v>
      </c>
      <c r="U77" s="76">
        <v>725050000</v>
      </c>
      <c r="V77" s="76">
        <v>144625000</v>
      </c>
      <c r="W77" s="76">
        <v>189355000</v>
      </c>
      <c r="X77" s="76">
        <v>413585000</v>
      </c>
      <c r="Y77" s="76">
        <v>391800000</v>
      </c>
      <c r="Z77" s="76">
        <v>384205000</v>
      </c>
    </row>
    <row r="78" spans="1:26" ht="12">
      <c r="A78" s="1" t="s">
        <v>139</v>
      </c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76">
        <v>853943988</v>
      </c>
      <c r="P78" s="76">
        <v>520447605</v>
      </c>
      <c r="Q78" s="76">
        <v>146632500.35000002</v>
      </c>
      <c r="R78" s="76">
        <v>236080000</v>
      </c>
      <c r="S78" s="76">
        <v>101327449</v>
      </c>
      <c r="T78" s="76">
        <v>49580000</v>
      </c>
      <c r="U78" s="76">
        <v>95000000</v>
      </c>
      <c r="V78" s="76">
        <v>39592476.549999997</v>
      </c>
      <c r="W78" s="76">
        <v>17850</v>
      </c>
      <c r="X78" s="76">
        <v>0</v>
      </c>
      <c r="Y78" s="76">
        <v>0</v>
      </c>
      <c r="Z78" s="76">
        <v>0</v>
      </c>
    </row>
    <row r="79" spans="1:26" ht="1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76">
        <v>2395986712.5999999</v>
      </c>
      <c r="P79" s="76">
        <v>2088812600.45</v>
      </c>
      <c r="Q79" s="76">
        <v>1563179970.0499997</v>
      </c>
      <c r="R79" s="76">
        <v>990909370.79999995</v>
      </c>
      <c r="S79" s="76">
        <v>1192899554.0999999</v>
      </c>
      <c r="T79" s="76">
        <v>1976679402.6500001</v>
      </c>
      <c r="U79" s="76">
        <v>2061605411.5</v>
      </c>
      <c r="V79" s="76">
        <v>1657937787.55</v>
      </c>
      <c r="W79" s="76">
        <v>1355226995</v>
      </c>
      <c r="X79" s="76">
        <v>1440982463</v>
      </c>
      <c r="Y79" s="76">
        <v>1469881831</v>
      </c>
      <c r="Z79" s="76">
        <v>1259104905</v>
      </c>
    </row>
    <row r="80" spans="1:26" ht="12">
      <c r="K80">
        <v>4848200159.04</v>
      </c>
      <c r="O80" s="251"/>
      <c r="P80" s="251"/>
      <c r="Q80" s="76">
        <v>3092089680.3499999</v>
      </c>
      <c r="R80" s="76"/>
      <c r="S80" s="76"/>
      <c r="T80" s="76"/>
      <c r="U80" s="76"/>
      <c r="V80" s="76"/>
      <c r="W80" s="76"/>
      <c r="X80" s="76"/>
      <c r="Y80" s="76"/>
      <c r="Z80" s="76"/>
    </row>
    <row r="81" spans="1:22" ht="12">
      <c r="K81" s="249"/>
      <c r="Q81" s="83"/>
    </row>
    <row r="82" spans="1:22">
      <c r="A82" t="s">
        <v>140</v>
      </c>
    </row>
    <row r="83" spans="1:22" ht="12">
      <c r="A83" s="1" t="s">
        <v>56</v>
      </c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>
        <v>228831078</v>
      </c>
      <c r="P83">
        <v>105842500</v>
      </c>
      <c r="Q83">
        <v>66142544</v>
      </c>
      <c r="R83">
        <v>54664820</v>
      </c>
      <c r="S83">
        <v>99000000</v>
      </c>
    </row>
    <row r="84" spans="1:22" ht="12">
      <c r="A84" s="1" t="s">
        <v>57</v>
      </c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83">
        <v>0</v>
      </c>
      <c r="P84" s="83">
        <v>74994999.700000003</v>
      </c>
      <c r="Q84" s="83">
        <v>95279609.400000006</v>
      </c>
      <c r="R84" s="83">
        <v>24999100.800000001</v>
      </c>
      <c r="S84" s="83">
        <v>74997184.099999994</v>
      </c>
    </row>
    <row r="85" spans="1:22" ht="12">
      <c r="A85" s="1" t="s">
        <v>58</v>
      </c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251">
        <v>10000000</v>
      </c>
      <c r="P85" s="251">
        <v>13300000</v>
      </c>
      <c r="Q85" s="251">
        <v>3440000</v>
      </c>
      <c r="R85" s="251">
        <v>16043250</v>
      </c>
      <c r="S85" s="251">
        <v>40869207</v>
      </c>
    </row>
    <row r="86" spans="1:22" ht="12">
      <c r="A86" s="1" t="s">
        <v>59</v>
      </c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251">
        <v>90325000</v>
      </c>
      <c r="P86" s="251">
        <v>7250000</v>
      </c>
      <c r="Q86" s="251">
        <v>5275000</v>
      </c>
      <c r="R86" s="251">
        <v>0</v>
      </c>
      <c r="S86" s="251">
        <v>38530714</v>
      </c>
    </row>
    <row r="87" spans="1:22" ht="12">
      <c r="A87" s="1" t="s">
        <v>60</v>
      </c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251">
        <v>0</v>
      </c>
      <c r="P87" s="251">
        <v>0</v>
      </c>
      <c r="Q87" s="251">
        <v>85850000</v>
      </c>
      <c r="R87" s="251">
        <v>0</v>
      </c>
      <c r="S87" s="251">
        <v>58500000</v>
      </c>
    </row>
    <row r="88" spans="1:22" ht="12">
      <c r="A88" s="1" t="s">
        <v>61</v>
      </c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251">
        <v>361535000</v>
      </c>
      <c r="P88" s="251">
        <v>45000000</v>
      </c>
      <c r="Q88" s="251">
        <v>445510316.30000001</v>
      </c>
      <c r="R88" s="251">
        <v>358800000</v>
      </c>
      <c r="S88" s="251">
        <v>658300000</v>
      </c>
    </row>
    <row r="89" spans="1:22" ht="12">
      <c r="A89" s="1" t="s">
        <v>77</v>
      </c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251">
        <v>951896000</v>
      </c>
      <c r="P89" s="251">
        <v>1135180000</v>
      </c>
      <c r="Q89" s="251">
        <v>1528909710.3000002</v>
      </c>
      <c r="R89" s="251">
        <v>1734920489.2</v>
      </c>
      <c r="S89" s="251">
        <v>1043014493</v>
      </c>
    </row>
    <row r="90" spans="1:22" ht="1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251"/>
      <c r="P90" s="251">
        <v>1381567499.7</v>
      </c>
      <c r="Q90" s="251">
        <v>2230407180</v>
      </c>
      <c r="R90" s="251">
        <v>2189427660</v>
      </c>
      <c r="S90" s="251">
        <v>2013211598.0999999</v>
      </c>
    </row>
    <row r="91" spans="1:22" ht="12">
      <c r="P91" s="83"/>
      <c r="Q91" s="83"/>
      <c r="R91" s="83"/>
      <c r="S91" s="83"/>
    </row>
    <row r="92" spans="1:22">
      <c r="P92">
        <v>-1007260795.3</v>
      </c>
      <c r="Q92">
        <v>0</v>
      </c>
      <c r="R92">
        <v>0</v>
      </c>
      <c r="S92">
        <v>-18660701.900000095</v>
      </c>
    </row>
    <row r="93" spans="1:22" ht="12">
      <c r="P93" s="83"/>
      <c r="Q93" s="83"/>
      <c r="R93" s="83"/>
      <c r="S93" s="83"/>
    </row>
    <row r="95" spans="1:22">
      <c r="J95">
        <v>4325052806.1199999</v>
      </c>
      <c r="K95">
        <v>1713214869.1599998</v>
      </c>
      <c r="L95">
        <v>2644902683.8000002</v>
      </c>
      <c r="M95">
        <v>1511242012</v>
      </c>
      <c r="N95">
        <v>2085725106.8</v>
      </c>
      <c r="O95">
        <v>2994413621</v>
      </c>
      <c r="P95">
        <v>2838332752.6999998</v>
      </c>
      <c r="Q95">
        <v>2106329470.3500004</v>
      </c>
      <c r="R95">
        <v>1292409370.8</v>
      </c>
      <c r="S95">
        <v>1211560256.1377172</v>
      </c>
      <c r="T95">
        <v>1976679402.6500001</v>
      </c>
      <c r="U95">
        <v>2061605411.5</v>
      </c>
      <c r="V95">
        <v>1657937787.55</v>
      </c>
    </row>
    <row r="96" spans="1:22">
      <c r="J96" s="249">
        <v>22723182948.867718</v>
      </c>
      <c r="K96" s="249">
        <v>20374809545.39772</v>
      </c>
      <c r="L96" s="249"/>
      <c r="M96" s="249"/>
      <c r="N96" s="249"/>
      <c r="O96" s="249"/>
      <c r="P96" s="249"/>
      <c r="Q96" s="249"/>
      <c r="R96" s="249"/>
      <c r="S96" s="249"/>
      <c r="T96" s="249"/>
      <c r="U96" s="249"/>
      <c r="V96" s="249"/>
    </row>
    <row r="97" spans="1:11">
      <c r="J97" s="249"/>
      <c r="K97" s="249"/>
    </row>
    <row r="98" spans="1:11">
      <c r="A98" t="s">
        <v>175</v>
      </c>
      <c r="G98">
        <v>82005055.920000136</v>
      </c>
    </row>
    <row r="99" spans="1:11">
      <c r="A99" t="s">
        <v>176</v>
      </c>
      <c r="G99" s="249">
        <v>2160654107.2744999</v>
      </c>
    </row>
    <row r="100" spans="1:11">
      <c r="A100" t="s">
        <v>177</v>
      </c>
      <c r="G100" s="249">
        <v>1133331740.9000001</v>
      </c>
    </row>
    <row r="101" spans="1:11">
      <c r="A101" t="s">
        <v>178</v>
      </c>
      <c r="G101" s="249">
        <v>1748704688</v>
      </c>
    </row>
    <row r="102" spans="1:11">
      <c r="A102" t="s">
        <v>179</v>
      </c>
      <c r="G102" s="249">
        <v>96023000.300000072</v>
      </c>
    </row>
    <row r="103" spans="1:11">
      <c r="A103" t="s">
        <v>180</v>
      </c>
      <c r="G103" s="304">
        <v>1844727688.3000002</v>
      </c>
    </row>
    <row r="104" spans="1:11">
      <c r="A104" t="s">
        <v>181</v>
      </c>
      <c r="G104" s="249">
        <v>1199839816.7</v>
      </c>
    </row>
    <row r="105" spans="1:11">
      <c r="G105" s="249"/>
    </row>
    <row r="106" spans="1:11">
      <c r="A106" t="s">
        <v>182</v>
      </c>
      <c r="G106">
        <v>3044567505</v>
      </c>
    </row>
    <row r="107" spans="1:11">
      <c r="A107" t="s">
        <v>183</v>
      </c>
      <c r="G107" s="305">
        <v>6420558409.0944996</v>
      </c>
    </row>
    <row r="108" spans="1:11">
      <c r="G108" s="305"/>
    </row>
  </sheetData>
  <phoneticPr fontId="3" type="noConversion"/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B39F26-206D-4EAD-9D63-C0C08CFEF9BD}">
  <sheetPr codeName="Sheet7"/>
  <dimension ref="A1:U32"/>
  <sheetViews>
    <sheetView zoomScaleNormal="100" workbookViewId="0">
      <selection activeCell="H15" sqref="H15"/>
    </sheetView>
  </sheetViews>
  <sheetFormatPr defaultColWidth="9" defaultRowHeight="12"/>
  <cols>
    <col min="1" max="1" width="8.375" style="1" customWidth="1"/>
    <col min="2" max="2" width="6.625" style="1" bestFit="1" customWidth="1"/>
    <col min="3" max="3" width="9.25" style="1" bestFit="1" customWidth="1"/>
    <col min="4" max="4" width="13.25" style="1" bestFit="1" customWidth="1"/>
    <col min="5" max="5" width="27.375" style="1" customWidth="1"/>
    <col min="6" max="6" width="46.375" style="1" customWidth="1"/>
    <col min="7" max="7" width="15.625" style="1" customWidth="1"/>
    <col min="8" max="8" width="15.125" style="1" customWidth="1"/>
    <col min="9" max="9" width="12.25" style="1" bestFit="1" customWidth="1"/>
    <col min="10" max="10" width="14" style="1" bestFit="1" customWidth="1"/>
    <col min="11" max="11" width="14.75" style="1" bestFit="1" customWidth="1"/>
    <col min="12" max="12" width="14.25" style="3" customWidth="1"/>
    <col min="13" max="13" width="9.875" style="3" bestFit="1" customWidth="1"/>
    <col min="14" max="14" width="13.25" style="1" bestFit="1" customWidth="1"/>
    <col min="15" max="15" width="9.875" style="3" bestFit="1" customWidth="1"/>
    <col min="16" max="16" width="13.75" style="1" bestFit="1" customWidth="1"/>
    <col min="17" max="17" width="12.625" style="1" bestFit="1" customWidth="1"/>
    <col min="18" max="18" width="9.75" style="1" customWidth="1"/>
    <col min="19" max="19" width="9.125" style="13" bestFit="1" customWidth="1"/>
    <col min="20" max="20" width="41.625" style="1" bestFit="1" customWidth="1"/>
    <col min="21" max="21" width="18" style="1" bestFit="1" customWidth="1"/>
    <col min="22" max="16384" width="9" style="1"/>
  </cols>
  <sheetData>
    <row r="1" spans="1:21">
      <c r="A1" s="321">
        <v>43326</v>
      </c>
      <c r="B1" s="321"/>
      <c r="C1" s="321"/>
      <c r="D1" s="316"/>
      <c r="E1" s="459">
        <f>'SC1 MRB'!H17+'SC2 State Voted'!H14+'SC3 Small Issue IDBs'!H14+'SC4 TSAHC'!H14+'SC4 MF- TDHCA'!H16+'SC4 MF- Local Collapse'!H58+'SC5 OTHER'!H101</f>
        <v>2054403985.75</v>
      </c>
      <c r="F1" s="18"/>
      <c r="G1" s="18"/>
      <c r="H1" s="317"/>
      <c r="I1" s="317"/>
      <c r="J1" s="317"/>
      <c r="K1" s="19"/>
      <c r="L1" s="22"/>
      <c r="M1" s="363"/>
      <c r="N1" s="21"/>
      <c r="O1" s="22"/>
      <c r="P1" s="19"/>
      <c r="Q1" s="19"/>
      <c r="R1" s="6"/>
      <c r="S1" s="17"/>
      <c r="T1" s="285"/>
    </row>
    <row r="2" spans="1:21">
      <c r="A2" s="48" t="s">
        <v>184</v>
      </c>
      <c r="B2" s="48"/>
      <c r="C2" s="48"/>
      <c r="D2" s="5"/>
      <c r="E2" s="26"/>
      <c r="F2" s="26"/>
      <c r="G2" s="26"/>
      <c r="H2" s="318"/>
      <c r="I2" s="318"/>
      <c r="J2" s="318"/>
      <c r="K2" s="27"/>
      <c r="L2" s="11"/>
      <c r="M2" s="364"/>
      <c r="N2" s="36"/>
      <c r="O2" s="11"/>
      <c r="P2" s="27"/>
      <c r="Q2" s="27"/>
      <c r="R2" s="6"/>
      <c r="S2" s="5"/>
      <c r="T2" s="286"/>
    </row>
    <row r="3" spans="1:21">
      <c r="C3" s="48"/>
      <c r="D3" s="5"/>
      <c r="E3" s="26"/>
      <c r="F3" s="26"/>
      <c r="G3" s="26"/>
      <c r="H3" s="318"/>
      <c r="I3" s="318"/>
      <c r="J3" s="318"/>
      <c r="K3" s="27"/>
      <c r="L3" s="11"/>
      <c r="M3" s="11"/>
      <c r="N3" s="27"/>
      <c r="O3" s="11"/>
      <c r="P3" s="27"/>
      <c r="Q3" s="27"/>
      <c r="R3" s="6"/>
      <c r="S3" s="1"/>
      <c r="T3" s="287"/>
    </row>
    <row r="4" spans="1:21">
      <c r="A4" s="31" t="s">
        <v>206</v>
      </c>
      <c r="B4" s="5" t="s">
        <v>208</v>
      </c>
      <c r="C4" s="5" t="s">
        <v>32</v>
      </c>
      <c r="D4" s="5" t="s">
        <v>37</v>
      </c>
      <c r="E4" s="5" t="s">
        <v>31</v>
      </c>
      <c r="F4" s="5" t="s">
        <v>49</v>
      </c>
      <c r="G4" s="5" t="s">
        <v>45</v>
      </c>
      <c r="H4" s="260" t="s">
        <v>23</v>
      </c>
      <c r="I4" s="115" t="s">
        <v>38</v>
      </c>
      <c r="J4" s="73" t="s">
        <v>51</v>
      </c>
      <c r="K4" s="32" t="s">
        <v>8</v>
      </c>
      <c r="L4" s="6" t="s">
        <v>14</v>
      </c>
      <c r="M4" s="6" t="s">
        <v>34</v>
      </c>
      <c r="N4" s="32" t="s">
        <v>4</v>
      </c>
      <c r="O4" s="6" t="s">
        <v>185</v>
      </c>
      <c r="P4" s="32" t="s">
        <v>27</v>
      </c>
      <c r="Q4" s="32" t="s">
        <v>44</v>
      </c>
      <c r="R4" s="6" t="s">
        <v>22</v>
      </c>
      <c r="S4" s="5" t="s">
        <v>172</v>
      </c>
      <c r="T4" s="30" t="s">
        <v>286</v>
      </c>
    </row>
    <row r="5" spans="1:21">
      <c r="A5" s="31" t="s">
        <v>207</v>
      </c>
      <c r="B5" s="5" t="s">
        <v>207</v>
      </c>
      <c r="C5" s="5" t="s">
        <v>48</v>
      </c>
      <c r="D5" s="13"/>
      <c r="E5" s="5"/>
      <c r="F5" s="26"/>
      <c r="G5" s="26"/>
      <c r="H5" s="260" t="s">
        <v>42</v>
      </c>
      <c r="I5" s="115" t="s">
        <v>46</v>
      </c>
      <c r="J5" s="73" t="s">
        <v>42</v>
      </c>
      <c r="K5" s="32" t="s">
        <v>42</v>
      </c>
      <c r="L5" s="6" t="s">
        <v>9</v>
      </c>
      <c r="M5" s="6" t="s">
        <v>18</v>
      </c>
      <c r="N5" s="32" t="s">
        <v>42</v>
      </c>
      <c r="O5" s="6" t="s">
        <v>18</v>
      </c>
      <c r="P5" s="32" t="s">
        <v>42</v>
      </c>
      <c r="Q5" s="32" t="s">
        <v>42</v>
      </c>
      <c r="R5" s="6" t="s">
        <v>5</v>
      </c>
      <c r="S5" s="5" t="s">
        <v>171</v>
      </c>
      <c r="T5" s="30" t="s">
        <v>287</v>
      </c>
    </row>
    <row r="6" spans="1:21" ht="12.6" thickBot="1">
      <c r="A6" s="38"/>
      <c r="B6" s="38"/>
      <c r="C6" s="33" t="s">
        <v>173</v>
      </c>
      <c r="D6" s="38"/>
      <c r="E6" s="33"/>
      <c r="F6" s="39"/>
      <c r="G6" s="39"/>
      <c r="H6" s="319"/>
      <c r="I6" s="319"/>
      <c r="J6" s="319"/>
      <c r="K6" s="55"/>
      <c r="L6" s="40"/>
      <c r="M6" s="40"/>
      <c r="N6" s="55"/>
      <c r="O6" s="40"/>
      <c r="P6" s="55"/>
      <c r="Q6" s="55"/>
      <c r="R6" s="55" t="s">
        <v>9</v>
      </c>
      <c r="S6" s="38"/>
      <c r="T6" s="386" t="s">
        <v>9</v>
      </c>
    </row>
    <row r="7" spans="1:21" s="13" customFormat="1">
      <c r="F7" s="36"/>
      <c r="G7" s="36"/>
      <c r="H7" s="425"/>
      <c r="I7" s="289"/>
      <c r="J7" s="425"/>
      <c r="K7" s="67"/>
      <c r="L7" s="359"/>
      <c r="M7" s="11"/>
      <c r="N7" s="289"/>
      <c r="O7" s="359"/>
      <c r="P7" s="11"/>
      <c r="R7" s="11"/>
      <c r="T7" s="445"/>
    </row>
    <row r="8" spans="1:21" s="13" customFormat="1">
      <c r="F8" s="36"/>
      <c r="G8" s="36"/>
      <c r="H8" s="425"/>
      <c r="I8" s="289"/>
      <c r="J8" s="425"/>
      <c r="K8" s="67"/>
      <c r="L8" s="359"/>
      <c r="M8" s="11"/>
      <c r="N8" s="289"/>
      <c r="O8" s="359"/>
      <c r="P8" s="289"/>
      <c r="Q8" s="67"/>
      <c r="R8" s="11"/>
    </row>
    <row r="9" spans="1:21" s="13" customFormat="1">
      <c r="F9" s="36"/>
      <c r="G9" s="36"/>
      <c r="H9" s="425"/>
      <c r="I9" s="289"/>
      <c r="J9" s="425"/>
      <c r="K9" s="425"/>
      <c r="L9" s="359"/>
      <c r="M9" s="11"/>
      <c r="N9" s="425"/>
      <c r="O9" s="359"/>
      <c r="P9" s="425"/>
      <c r="Q9" s="425"/>
      <c r="R9" s="11"/>
    </row>
    <row r="10" spans="1:21" s="5" customFormat="1" ht="13.5" customHeight="1">
      <c r="H10" s="410"/>
      <c r="I10" s="352"/>
      <c r="J10" s="349"/>
      <c r="K10" s="349"/>
      <c r="L10" s="6"/>
      <c r="M10" s="6"/>
      <c r="N10" s="349"/>
      <c r="O10" s="6"/>
      <c r="P10" s="349"/>
      <c r="Q10" s="52"/>
      <c r="R10" s="6"/>
      <c r="U10" s="381"/>
    </row>
    <row r="11" spans="1:21">
      <c r="C11" s="13"/>
      <c r="E11" s="5"/>
      <c r="F11" s="5" t="s">
        <v>7</v>
      </c>
      <c r="G11" s="5" t="s">
        <v>6</v>
      </c>
      <c r="H11" s="68">
        <f>SUM(H7:H10)</f>
        <v>0</v>
      </c>
      <c r="I11" s="320"/>
      <c r="J11" s="68">
        <f>SUM(J7:J10)</f>
        <v>0</v>
      </c>
      <c r="K11" s="68">
        <f>SUM(K7:K10)</f>
        <v>0</v>
      </c>
      <c r="L11" s="27"/>
      <c r="M11" s="27"/>
      <c r="N11" s="68">
        <f>SUM(N7:N10)</f>
        <v>0</v>
      </c>
      <c r="P11" s="68">
        <f>SUM(P7:P10)</f>
        <v>0</v>
      </c>
      <c r="Q11" s="68">
        <f>SUM(Q7:Q10)</f>
        <v>0</v>
      </c>
    </row>
    <row r="12" spans="1:21">
      <c r="C12" s="13"/>
      <c r="E12" s="43"/>
      <c r="G12" s="13"/>
      <c r="H12" s="320"/>
      <c r="I12" s="320"/>
      <c r="J12" s="320"/>
      <c r="K12" s="9"/>
      <c r="N12" s="9"/>
      <c r="P12" s="9"/>
      <c r="Q12" s="9"/>
    </row>
    <row r="13" spans="1:21">
      <c r="C13" s="13"/>
      <c r="E13" s="13"/>
      <c r="G13" s="5" t="s">
        <v>43</v>
      </c>
      <c r="H13" s="320">
        <f>J11-K11</f>
        <v>0</v>
      </c>
      <c r="I13" s="320"/>
      <c r="J13" s="320"/>
      <c r="K13" s="9"/>
      <c r="N13" s="9"/>
      <c r="O13" s="7"/>
      <c r="P13" s="9"/>
      <c r="Q13" s="9"/>
    </row>
    <row r="14" spans="1:21">
      <c r="G14" s="13"/>
      <c r="H14" s="9"/>
      <c r="I14" s="9"/>
      <c r="J14" s="9"/>
      <c r="K14" s="9"/>
      <c r="N14" s="83"/>
      <c r="P14" s="9"/>
      <c r="Q14" s="9"/>
    </row>
    <row r="15" spans="1:21">
      <c r="F15" s="140"/>
      <c r="G15" s="5" t="s">
        <v>186</v>
      </c>
      <c r="H15" s="362">
        <f>E1-K11+Q11+G24</f>
        <v>2054403985.75</v>
      </c>
      <c r="I15" s="9"/>
      <c r="J15" s="9"/>
      <c r="K15" s="9"/>
      <c r="N15" s="83"/>
      <c r="P15" s="9"/>
      <c r="Q15" s="83"/>
    </row>
    <row r="16" spans="1:21">
      <c r="H16" s="328" t="s">
        <v>444</v>
      </c>
    </row>
    <row r="17" spans="1:13" s="1" customFormat="1">
      <c r="H17" s="365"/>
      <c r="J17" s="9"/>
      <c r="L17" s="3"/>
      <c r="M17" s="3"/>
    </row>
    <row r="18" spans="1:13" s="1" customFormat="1">
      <c r="H18" s="2"/>
      <c r="J18" s="9"/>
      <c r="L18" s="3"/>
      <c r="M18" s="3"/>
    </row>
    <row r="19" spans="1:13" s="1" customFormat="1">
      <c r="A19" s="13"/>
      <c r="B19" s="13"/>
      <c r="C19" s="43"/>
      <c r="D19" s="202"/>
      <c r="E19" s="43"/>
      <c r="F19" s="43"/>
      <c r="G19" s="358"/>
      <c r="H19" s="288"/>
      <c r="I19" s="288"/>
      <c r="L19" s="3"/>
    </row>
    <row r="20" spans="1:13" s="1" customFormat="1">
      <c r="A20" s="13"/>
      <c r="B20" s="13"/>
      <c r="C20" s="43"/>
      <c r="D20" s="43"/>
      <c r="E20" s="148"/>
      <c r="F20" s="13"/>
      <c r="G20" s="461"/>
      <c r="H20" s="210"/>
      <c r="I20" s="288"/>
      <c r="L20" s="3"/>
    </row>
    <row r="21" spans="1:13" s="1" customFormat="1">
      <c r="A21" s="13"/>
      <c r="B21" s="13"/>
      <c r="C21" s="43"/>
      <c r="D21" s="43"/>
      <c r="E21" s="148"/>
      <c r="F21" s="13"/>
      <c r="G21" s="461"/>
      <c r="H21" s="210"/>
      <c r="I21" s="288"/>
      <c r="L21" s="3"/>
    </row>
    <row r="22" spans="1:13" s="1" customFormat="1">
      <c r="A22" s="13"/>
      <c r="B22" s="13"/>
      <c r="C22" s="43"/>
      <c r="D22" s="43"/>
      <c r="E22" s="148"/>
      <c r="F22" s="13"/>
      <c r="G22" s="461"/>
      <c r="H22" s="210"/>
      <c r="I22" s="288"/>
      <c r="L22" s="3"/>
    </row>
    <row r="23" spans="1:13" s="1" customFormat="1">
      <c r="A23" s="13"/>
      <c r="B23" s="13"/>
      <c r="C23" s="43"/>
      <c r="D23" s="43"/>
      <c r="E23" s="148"/>
      <c r="F23" s="13"/>
      <c r="G23" s="464"/>
      <c r="H23" s="210"/>
      <c r="I23" s="288"/>
      <c r="L23" s="3"/>
    </row>
    <row r="24" spans="1:13" s="1" customFormat="1">
      <c r="G24" s="315">
        <f>SUM(G20:G23)</f>
        <v>0</v>
      </c>
      <c r="L24" s="3"/>
    </row>
    <row r="26" spans="1:13" s="1" customFormat="1">
      <c r="J26" s="368"/>
      <c r="L26" s="3"/>
      <c r="M26" s="3"/>
    </row>
    <row r="32" spans="1:13" s="1" customFormat="1">
      <c r="C32" s="4"/>
      <c r="D32" s="4"/>
      <c r="E32" s="4"/>
      <c r="F32" s="4"/>
      <c r="L32" s="3"/>
      <c r="M32" s="3"/>
    </row>
  </sheetData>
  <autoFilter ref="A6:T6" xr:uid="{6AB39F26-206D-4EAD-9D63-C0C08CFEF9BD}"/>
  <phoneticPr fontId="3" type="noConversion"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0" tint="-0.249977111117893"/>
    <pageSetUpPr fitToPage="1"/>
  </sheetPr>
  <dimension ref="A1:U36"/>
  <sheetViews>
    <sheetView zoomScaleNormal="100" workbookViewId="0">
      <selection activeCell="H17" sqref="H17"/>
    </sheetView>
  </sheetViews>
  <sheetFormatPr defaultColWidth="11.375" defaultRowHeight="12"/>
  <cols>
    <col min="1" max="1" width="9.375" style="1" customWidth="1"/>
    <col min="2" max="2" width="7.125" style="1" bestFit="1" customWidth="1"/>
    <col min="3" max="3" width="10.125" style="1" bestFit="1" customWidth="1"/>
    <col min="4" max="4" width="13.25" style="1" bestFit="1" customWidth="1"/>
    <col min="5" max="5" width="19.125" style="1" customWidth="1"/>
    <col min="6" max="6" width="23.125" style="1" bestFit="1" customWidth="1"/>
    <col min="7" max="7" width="14.875" style="1" customWidth="1"/>
    <col min="8" max="8" width="16" style="9" bestFit="1" customWidth="1"/>
    <col min="9" max="9" width="14" style="97" customWidth="1"/>
    <col min="10" max="10" width="14" style="9" customWidth="1"/>
    <col min="11" max="11" width="14.25" style="14" customWidth="1"/>
    <col min="12" max="12" width="16.375" style="1" customWidth="1"/>
    <col min="13" max="13" width="16.25" style="1" bestFit="1" customWidth="1"/>
    <col min="14" max="14" width="16.375" style="2" bestFit="1" customWidth="1"/>
    <col min="15" max="15" width="17" style="1" bestFit="1" customWidth="1"/>
    <col min="16" max="16" width="15.25" style="122" bestFit="1" customWidth="1"/>
    <col min="17" max="17" width="13.625" style="122" customWidth="1"/>
    <col min="18" max="18" width="10.625" style="1" bestFit="1" customWidth="1"/>
    <col min="19" max="19" width="38.125" style="1" bestFit="1" customWidth="1"/>
    <col min="20" max="21" width="11.625" style="1" bestFit="1" customWidth="1"/>
    <col min="22" max="16384" width="11.375" style="1"/>
  </cols>
  <sheetData>
    <row r="1" spans="1:21" s="24" customFormat="1">
      <c r="A1" s="16" t="s">
        <v>21</v>
      </c>
      <c r="B1" s="291"/>
      <c r="C1" s="291"/>
      <c r="D1" s="17"/>
      <c r="E1" s="382">
        <f>Totals!C8</f>
        <v>1311868090</v>
      </c>
      <c r="F1" s="18"/>
      <c r="G1" s="18"/>
      <c r="H1" s="123"/>
      <c r="I1" s="113"/>
      <c r="J1" s="70"/>
      <c r="K1" s="20"/>
      <c r="L1" s="5" t="s">
        <v>246</v>
      </c>
      <c r="M1" s="5" t="s">
        <v>245</v>
      </c>
      <c r="N1" s="5" t="s">
        <v>251</v>
      </c>
      <c r="O1" s="5" t="s">
        <v>250</v>
      </c>
      <c r="P1" s="119"/>
      <c r="Q1" s="119"/>
      <c r="R1" s="23"/>
    </row>
    <row r="2" spans="1:21" s="13" customFormat="1">
      <c r="A2" s="25" t="s">
        <v>35</v>
      </c>
      <c r="B2" s="48"/>
      <c r="C2" s="48"/>
      <c r="D2" s="5"/>
      <c r="E2" s="26"/>
      <c r="F2" s="264"/>
      <c r="G2" s="5"/>
      <c r="I2" s="114"/>
      <c r="J2" s="71"/>
      <c r="K2" s="28"/>
      <c r="L2" s="13" t="s">
        <v>244</v>
      </c>
      <c r="M2" s="360">
        <f>ROUND($E$1*0.5666, 0)</f>
        <v>743304460</v>
      </c>
      <c r="N2" s="54">
        <f>M2</f>
        <v>743304460</v>
      </c>
      <c r="O2" s="54"/>
      <c r="P2" s="120"/>
      <c r="Q2" s="120"/>
      <c r="R2" s="72"/>
    </row>
    <row r="3" spans="1:21" s="13" customFormat="1">
      <c r="A3" s="25"/>
      <c r="B3" s="48"/>
      <c r="C3" s="48"/>
      <c r="E3" s="5"/>
      <c r="F3" s="5"/>
      <c r="G3" s="5"/>
      <c r="I3" s="114"/>
      <c r="J3" s="71"/>
      <c r="K3" s="28"/>
      <c r="L3" s="13" t="s">
        <v>298</v>
      </c>
      <c r="M3" s="360">
        <f>ROUND($E$1*0.1, 0)</f>
        <v>131186809</v>
      </c>
      <c r="N3" s="54">
        <f t="shared" ref="N3:N4" si="0">M3</f>
        <v>131186809</v>
      </c>
      <c r="O3" s="54"/>
      <c r="P3" s="120"/>
      <c r="Q3" s="120"/>
      <c r="R3" s="72"/>
    </row>
    <row r="4" spans="1:21" s="13" customFormat="1">
      <c r="A4" s="25"/>
      <c r="B4" s="48"/>
      <c r="C4" s="48"/>
      <c r="E4" s="5"/>
      <c r="F4" s="5"/>
      <c r="G4" s="5"/>
      <c r="I4" s="114"/>
      <c r="J4" s="71"/>
      <c r="K4" s="28"/>
      <c r="L4" s="13" t="s">
        <v>68</v>
      </c>
      <c r="M4" s="360">
        <f>ROUND($E$1*0.3334, 0)</f>
        <v>437376821</v>
      </c>
      <c r="N4" s="54">
        <f t="shared" si="0"/>
        <v>437376821</v>
      </c>
      <c r="O4" s="54"/>
      <c r="P4" s="120"/>
      <c r="Q4" s="120"/>
      <c r="R4" s="72"/>
    </row>
    <row r="5" spans="1:21" s="13" customFormat="1">
      <c r="A5" s="25"/>
      <c r="B5" s="48"/>
      <c r="C5" s="48"/>
      <c r="E5" s="5"/>
      <c r="F5" s="5"/>
      <c r="G5" s="5"/>
      <c r="H5" s="71"/>
      <c r="I5" s="114"/>
      <c r="J5" s="71"/>
      <c r="M5" s="5"/>
      <c r="N5" s="53"/>
      <c r="O5" s="11"/>
      <c r="P5" s="120"/>
      <c r="Q5" s="120"/>
      <c r="R5" s="72"/>
    </row>
    <row r="6" spans="1:21" s="5" customFormat="1" ht="11.4">
      <c r="A6" s="31" t="s">
        <v>206</v>
      </c>
      <c r="B6" s="5" t="s">
        <v>208</v>
      </c>
      <c r="C6" s="5" t="s">
        <v>32</v>
      </c>
      <c r="D6" s="5" t="s">
        <v>37</v>
      </c>
      <c r="E6" s="5" t="s">
        <v>31</v>
      </c>
      <c r="F6" s="5" t="s">
        <v>49</v>
      </c>
      <c r="G6" s="5" t="s">
        <v>45</v>
      </c>
      <c r="H6" s="73" t="s">
        <v>23</v>
      </c>
      <c r="I6" s="115" t="s">
        <v>38</v>
      </c>
      <c r="J6" s="73" t="s">
        <v>51</v>
      </c>
      <c r="K6" s="73" t="s">
        <v>8</v>
      </c>
      <c r="L6" s="6" t="s">
        <v>14</v>
      </c>
      <c r="M6" s="6" t="s">
        <v>34</v>
      </c>
      <c r="N6" s="54" t="s">
        <v>4</v>
      </c>
      <c r="O6" s="6" t="s">
        <v>155</v>
      </c>
      <c r="P6" s="121" t="s">
        <v>27</v>
      </c>
      <c r="Q6" s="121" t="s">
        <v>44</v>
      </c>
      <c r="R6" s="30" t="s">
        <v>22</v>
      </c>
    </row>
    <row r="7" spans="1:21" s="5" customFormat="1">
      <c r="A7" s="31" t="s">
        <v>207</v>
      </c>
      <c r="B7" s="5" t="s">
        <v>207</v>
      </c>
      <c r="C7" s="5" t="s">
        <v>48</v>
      </c>
      <c r="D7" s="13"/>
      <c r="E7" s="26"/>
      <c r="F7" s="26"/>
      <c r="G7" s="26"/>
      <c r="H7" s="73" t="s">
        <v>42</v>
      </c>
      <c r="I7" s="115" t="s">
        <v>46</v>
      </c>
      <c r="J7" s="73" t="s">
        <v>42</v>
      </c>
      <c r="K7" s="73" t="s">
        <v>42</v>
      </c>
      <c r="L7" s="6" t="s">
        <v>9</v>
      </c>
      <c r="M7" s="6" t="s">
        <v>18</v>
      </c>
      <c r="N7" s="54" t="s">
        <v>42</v>
      </c>
      <c r="O7" s="6" t="s">
        <v>18</v>
      </c>
      <c r="P7" s="121" t="s">
        <v>42</v>
      </c>
      <c r="Q7" s="121" t="s">
        <v>42</v>
      </c>
      <c r="R7" s="30" t="s">
        <v>5</v>
      </c>
    </row>
    <row r="8" spans="1:21" s="5" customFormat="1" ht="13.8" thickBot="1">
      <c r="A8" s="37"/>
      <c r="B8" s="33"/>
      <c r="C8" s="33" t="s">
        <v>173</v>
      </c>
      <c r="D8" s="38" t="s">
        <v>7</v>
      </c>
      <c r="E8" s="39"/>
      <c r="F8" s="39"/>
      <c r="G8" s="39"/>
      <c r="H8" s="74"/>
      <c r="I8" s="116"/>
      <c r="J8" s="74"/>
      <c r="K8" s="74"/>
      <c r="L8" s="40"/>
      <c r="M8" s="40"/>
      <c r="N8" s="56"/>
      <c r="O8" s="40"/>
      <c r="P8" s="74"/>
      <c r="Q8" s="74"/>
      <c r="R8" s="172" t="s">
        <v>9</v>
      </c>
      <c r="S8" s="13"/>
      <c r="T8" s="170"/>
      <c r="U8" s="13"/>
    </row>
    <row r="9" spans="1:21" s="13" customFormat="1" ht="13.2">
      <c r="A9" s="13" t="s">
        <v>146</v>
      </c>
      <c r="B9" s="13" t="s">
        <v>146</v>
      </c>
      <c r="C9" s="13">
        <v>5330</v>
      </c>
      <c r="D9" s="13" t="s">
        <v>391</v>
      </c>
      <c r="E9" s="36" t="s">
        <v>410</v>
      </c>
      <c r="F9" s="36" t="s">
        <v>689</v>
      </c>
      <c r="G9" s="36" t="s">
        <v>82</v>
      </c>
      <c r="H9" s="439">
        <v>28000000</v>
      </c>
      <c r="I9" s="440" t="s">
        <v>146</v>
      </c>
      <c r="J9" s="439">
        <f>H9</f>
        <v>28000000</v>
      </c>
      <c r="K9" s="439">
        <v>28000000</v>
      </c>
      <c r="L9" s="11">
        <v>44258</v>
      </c>
      <c r="M9" s="11">
        <f>L9+35</f>
        <v>44293</v>
      </c>
      <c r="N9" s="439">
        <v>26102169</v>
      </c>
      <c r="O9" s="11">
        <f>L9+210</f>
        <v>44468</v>
      </c>
      <c r="P9" s="533">
        <v>0</v>
      </c>
      <c r="Q9" s="439">
        <f>K9-P9</f>
        <v>28000000</v>
      </c>
      <c r="R9" s="11">
        <v>44296</v>
      </c>
      <c r="S9" s="472" t="s">
        <v>690</v>
      </c>
      <c r="T9" s="170"/>
    </row>
    <row r="10" spans="1:21" s="446" customFormat="1" ht="13.2">
      <c r="A10" s="446" t="s">
        <v>146</v>
      </c>
      <c r="B10" s="446" t="s">
        <v>146</v>
      </c>
      <c r="C10" s="446">
        <v>5349</v>
      </c>
      <c r="D10" s="446" t="s">
        <v>391</v>
      </c>
      <c r="E10" s="447" t="s">
        <v>76</v>
      </c>
      <c r="F10" s="447" t="s">
        <v>248</v>
      </c>
      <c r="G10" s="447" t="s">
        <v>152</v>
      </c>
      <c r="H10" s="543">
        <v>179845000</v>
      </c>
      <c r="I10" s="544" t="s">
        <v>146</v>
      </c>
      <c r="J10" s="543">
        <f>H10</f>
        <v>179845000</v>
      </c>
      <c r="K10" s="543">
        <f>J10</f>
        <v>179845000</v>
      </c>
      <c r="L10" s="448">
        <v>44299</v>
      </c>
      <c r="M10" s="448">
        <f>L10+35</f>
        <v>44334</v>
      </c>
      <c r="N10" s="543">
        <v>170840815</v>
      </c>
      <c r="O10" s="448">
        <f>L10+210</f>
        <v>44509</v>
      </c>
      <c r="P10" s="543">
        <v>0</v>
      </c>
      <c r="Q10" s="543">
        <f>K10-P10</f>
        <v>179845000</v>
      </c>
      <c r="R10" s="448">
        <v>44358</v>
      </c>
      <c r="S10" s="527" t="s">
        <v>724</v>
      </c>
      <c r="T10" s="546"/>
    </row>
    <row r="11" spans="1:21" s="13" customFormat="1" ht="13.2">
      <c r="E11" s="36"/>
      <c r="F11" s="36"/>
      <c r="G11" s="36"/>
      <c r="H11" s="439"/>
      <c r="I11" s="440"/>
      <c r="J11" s="439"/>
      <c r="K11" s="439"/>
      <c r="L11" s="11"/>
      <c r="M11" s="11"/>
      <c r="N11" s="533"/>
      <c r="O11" s="11"/>
      <c r="P11" s="439"/>
      <c r="Q11" s="439"/>
      <c r="R11" s="11"/>
      <c r="T11" s="170"/>
    </row>
    <row r="12" spans="1:21" s="5" customFormat="1" ht="13.2">
      <c r="D12" s="13"/>
      <c r="E12" s="26"/>
      <c r="F12" s="26"/>
      <c r="G12" s="26"/>
      <c r="H12" s="73"/>
      <c r="I12" s="115"/>
      <c r="J12" s="73"/>
      <c r="K12" s="73"/>
      <c r="L12" s="6"/>
      <c r="M12" s="6"/>
      <c r="N12" s="46"/>
      <c r="O12" s="6"/>
      <c r="P12" s="73"/>
      <c r="Q12" s="73"/>
      <c r="R12" s="52"/>
      <c r="S12" s="13"/>
      <c r="T12" s="170"/>
      <c r="U12" s="13"/>
    </row>
    <row r="13" spans="1:21" s="13" customFormat="1">
      <c r="A13" s="43"/>
      <c r="B13" s="43"/>
      <c r="C13" s="43"/>
      <c r="D13" s="43"/>
      <c r="E13" s="1"/>
      <c r="F13" s="13" t="s">
        <v>19</v>
      </c>
      <c r="H13" s="263">
        <f>SUM(H9:H12)</f>
        <v>207845000</v>
      </c>
      <c r="I13" s="66"/>
      <c r="J13" s="263">
        <f>SUM(J9:J12)</f>
        <v>207845000</v>
      </c>
      <c r="K13" s="263">
        <f>SUM(K9:K12)</f>
        <v>207845000</v>
      </c>
      <c r="L13" s="11"/>
      <c r="M13" s="10"/>
      <c r="N13" s="263">
        <f>SUM(N9:N12)</f>
        <v>196942984</v>
      </c>
      <c r="O13" s="11"/>
      <c r="P13" s="263">
        <f>SUM(P9:P12)</f>
        <v>0</v>
      </c>
      <c r="Q13" s="263">
        <f>SUM(Q9:Q12)</f>
        <v>207845000</v>
      </c>
    </row>
    <row r="14" spans="1:21">
      <c r="A14" s="5"/>
      <c r="B14" s="5"/>
      <c r="C14" s="5"/>
      <c r="D14" s="88"/>
      <c r="F14" s="13"/>
      <c r="H14" s="76"/>
      <c r="I14" s="1"/>
      <c r="J14" s="11"/>
      <c r="K14" s="11"/>
      <c r="L14" s="11"/>
      <c r="M14" s="6"/>
      <c r="N14" s="1"/>
      <c r="O14" s="11"/>
      <c r="P14" s="1"/>
      <c r="Q14" s="13"/>
    </row>
    <row r="15" spans="1:21">
      <c r="A15" s="5"/>
      <c r="B15" s="5"/>
      <c r="C15" s="5"/>
      <c r="E15" s="5"/>
      <c r="F15" s="13" t="s">
        <v>43</v>
      </c>
      <c r="G15" s="5"/>
      <c r="H15" s="34">
        <f>J13-K13</f>
        <v>0</v>
      </c>
      <c r="I15" s="9"/>
      <c r="J15" s="1"/>
      <c r="K15" s="1"/>
      <c r="L15" s="9"/>
      <c r="N15" s="1"/>
      <c r="O15" s="3"/>
      <c r="P15" s="1"/>
      <c r="Q15" s="13"/>
    </row>
    <row r="16" spans="1:21">
      <c r="A16" s="5"/>
      <c r="B16" s="5"/>
      <c r="C16" s="5"/>
      <c r="E16" s="5"/>
      <c r="G16" s="5"/>
      <c r="H16" s="67"/>
      <c r="I16" s="9"/>
      <c r="J16" s="1"/>
      <c r="K16" s="167"/>
      <c r="L16" s="9"/>
      <c r="N16" s="1"/>
      <c r="O16" s="3"/>
      <c r="P16" s="1"/>
      <c r="Q16" s="13"/>
    </row>
    <row r="17" spans="1:17">
      <c r="A17" s="5"/>
      <c r="B17" s="5"/>
      <c r="C17" s="5"/>
      <c r="E17" s="133"/>
      <c r="F17" s="58" t="s">
        <v>10</v>
      </c>
      <c r="G17" s="5"/>
      <c r="H17" s="77">
        <f>E1-K13+Q13+G21</f>
        <v>1311868090</v>
      </c>
      <c r="I17" s="195"/>
      <c r="J17" s="171"/>
      <c r="K17" s="167"/>
      <c r="L17" s="9"/>
      <c r="M17" s="167"/>
      <c r="N17" s="83"/>
      <c r="P17" s="1"/>
      <c r="Q17" s="13"/>
    </row>
    <row r="18" spans="1:17">
      <c r="E18" s="58"/>
      <c r="F18" s="5"/>
      <c r="G18" s="5"/>
      <c r="H18" s="450"/>
      <c r="I18" s="195"/>
      <c r="J18" s="409"/>
      <c r="K18" s="401"/>
      <c r="L18" s="9"/>
      <c r="M18" s="168"/>
      <c r="N18" s="83"/>
      <c r="Q18" s="1"/>
    </row>
    <row r="19" spans="1:17">
      <c r="E19" s="58"/>
      <c r="F19" s="4"/>
      <c r="G19" s="124"/>
      <c r="H19" s="124"/>
      <c r="I19" s="187"/>
      <c r="J19" s="187"/>
      <c r="K19" s="400"/>
      <c r="L19" s="83"/>
      <c r="M19" s="167"/>
      <c r="N19" s="1"/>
      <c r="O19" s="171"/>
      <c r="P19" s="9"/>
      <c r="Q19" s="1"/>
    </row>
    <row r="20" spans="1:17">
      <c r="A20" s="13"/>
      <c r="B20" s="13"/>
      <c r="C20" s="13"/>
      <c r="D20" s="202"/>
      <c r="E20" s="148"/>
      <c r="F20" s="148"/>
      <c r="G20" s="534"/>
      <c r="H20" s="413"/>
      <c r="I20" s="413"/>
      <c r="J20" s="171"/>
      <c r="K20" s="171"/>
      <c r="L20" s="83"/>
      <c r="M20" s="171"/>
      <c r="N20" s="1"/>
      <c r="O20" s="167"/>
      <c r="Q20" s="1"/>
    </row>
    <row r="21" spans="1:17">
      <c r="E21" s="148"/>
      <c r="F21" s="133"/>
      <c r="G21" s="315">
        <f>SUM(G20:G20)</f>
        <v>0</v>
      </c>
      <c r="H21" s="124"/>
      <c r="I21" s="189"/>
      <c r="K21" s="407"/>
      <c r="L21" s="83"/>
      <c r="M21" s="167"/>
      <c r="N21" s="1"/>
      <c r="Q21" s="1"/>
    </row>
    <row r="22" spans="1:17">
      <c r="E22" s="58"/>
      <c r="F22" s="133"/>
      <c r="G22" s="191"/>
      <c r="H22" s="124"/>
      <c r="I22" s="192"/>
      <c r="K22" s="408"/>
      <c r="L22" s="9"/>
      <c r="N22" s="1"/>
      <c r="Q22" s="1"/>
    </row>
    <row r="23" spans="1:17">
      <c r="G23" s="261"/>
      <c r="I23" s="171"/>
      <c r="K23" s="167"/>
      <c r="L23" s="3"/>
      <c r="Q23" s="1"/>
    </row>
    <row r="24" spans="1:17">
      <c r="G24" s="251"/>
      <c r="H24" s="369"/>
      <c r="I24" s="195"/>
      <c r="K24" s="266"/>
      <c r="Q24" s="1"/>
    </row>
    <row r="25" spans="1:17">
      <c r="G25" s="251"/>
      <c r="H25" s="1"/>
      <c r="I25" s="195"/>
      <c r="K25" s="266"/>
      <c r="Q25" s="1"/>
    </row>
    <row r="26" spans="1:17">
      <c r="H26" s="1"/>
      <c r="I26" s="195"/>
      <c r="K26" s="266"/>
      <c r="Q26" s="1"/>
    </row>
    <row r="27" spans="1:17">
      <c r="H27" s="205"/>
      <c r="I27" s="195"/>
      <c r="Q27" s="1"/>
    </row>
    <row r="28" spans="1:17">
      <c r="H28" s="73"/>
      <c r="I28" s="195"/>
      <c r="Q28" s="1"/>
    </row>
    <row r="29" spans="1:17">
      <c r="H29" s="73"/>
      <c r="I29" s="195"/>
    </row>
    <row r="30" spans="1:17">
      <c r="H30" s="71"/>
    </row>
    <row r="31" spans="1:17">
      <c r="H31" s="73"/>
    </row>
    <row r="32" spans="1:17">
      <c r="H32" s="73"/>
    </row>
    <row r="33" spans="6:17">
      <c r="H33" s="73"/>
    </row>
    <row r="34" spans="6:17">
      <c r="F34" s="1" t="s">
        <v>7</v>
      </c>
      <c r="H34" s="73"/>
      <c r="I34" s="1"/>
      <c r="J34" s="1"/>
      <c r="K34" s="1"/>
      <c r="N34" s="1"/>
      <c r="P34" s="1"/>
      <c r="Q34" s="1"/>
    </row>
    <row r="35" spans="6:17">
      <c r="H35" s="205"/>
    </row>
    <row r="36" spans="6:17">
      <c r="H36" s="205"/>
    </row>
  </sheetData>
  <phoneticPr fontId="0" type="noConversion"/>
  <pageMargins left="0.75" right="0.75" top="1" bottom="1" header="0.5" footer="0.5"/>
  <pageSetup scale="45" fitToHeight="2" orientation="landscape" horizontalDpi="4294967292" verticalDpi="4294967292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theme="0" tint="-0.249977111117893"/>
    <pageSetUpPr fitToPage="1"/>
  </sheetPr>
  <dimension ref="A1:V23"/>
  <sheetViews>
    <sheetView workbookViewId="0">
      <selection activeCell="H14" sqref="H14"/>
    </sheetView>
  </sheetViews>
  <sheetFormatPr defaultColWidth="10.875" defaultRowHeight="12"/>
  <cols>
    <col min="1" max="1" width="9.375" style="13" customWidth="1"/>
    <col min="2" max="2" width="7.125" style="13" bestFit="1" customWidth="1"/>
    <col min="3" max="3" width="10.125" style="13" bestFit="1" customWidth="1"/>
    <col min="4" max="4" width="11" style="13" bestFit="1" customWidth="1"/>
    <col min="5" max="5" width="20.75" style="13" customWidth="1"/>
    <col min="6" max="6" width="37.25" style="13" bestFit="1" customWidth="1"/>
    <col min="7" max="7" width="11.25" style="13" bestFit="1" customWidth="1"/>
    <col min="8" max="8" width="13.875" style="34" bestFit="1" customWidth="1"/>
    <col min="9" max="9" width="13.25" style="34" bestFit="1" customWidth="1"/>
    <col min="10" max="10" width="15.25" style="13" bestFit="1" customWidth="1"/>
    <col min="11" max="11" width="10.875" style="13" bestFit="1" customWidth="1"/>
    <col min="12" max="12" width="13.625" style="34" customWidth="1"/>
    <col min="13" max="13" width="10.875" style="13" bestFit="1" customWidth="1"/>
    <col min="14" max="14" width="15.75" style="35" bestFit="1" customWidth="1"/>
    <col min="15" max="15" width="13.75" style="34" bestFit="1" customWidth="1"/>
    <col min="16" max="16" width="10.125" style="13" bestFit="1" customWidth="1"/>
    <col min="17" max="16384" width="10.875" style="13"/>
  </cols>
  <sheetData>
    <row r="1" spans="1:22">
      <c r="A1" s="16" t="s">
        <v>47</v>
      </c>
      <c r="B1" s="291"/>
      <c r="C1" s="291"/>
      <c r="D1" s="17"/>
      <c r="E1" s="382">
        <f>Totals!D8</f>
        <v>406780803</v>
      </c>
      <c r="F1" s="18"/>
      <c r="G1" s="18"/>
      <c r="H1" s="332"/>
      <c r="I1" s="333"/>
      <c r="J1" s="284"/>
      <c r="K1" s="284"/>
      <c r="L1" s="333"/>
      <c r="M1" s="284"/>
      <c r="N1" s="332"/>
      <c r="O1" s="332"/>
      <c r="P1" s="23"/>
    </row>
    <row r="2" spans="1:22">
      <c r="A2" s="25" t="s">
        <v>0</v>
      </c>
      <c r="B2" s="48"/>
      <c r="C2" s="48"/>
      <c r="D2" s="5"/>
      <c r="E2" s="26"/>
      <c r="F2" s="26"/>
      <c r="G2" s="26"/>
      <c r="H2" s="46"/>
      <c r="I2" s="47"/>
      <c r="J2" s="6"/>
      <c r="K2" s="6"/>
      <c r="L2" s="47"/>
      <c r="M2" s="6"/>
      <c r="N2" s="46"/>
      <c r="O2" s="46"/>
      <c r="P2" s="106"/>
    </row>
    <row r="3" spans="1:22">
      <c r="A3" s="31"/>
      <c r="B3" s="5"/>
      <c r="C3" s="5"/>
      <c r="D3" s="5"/>
      <c r="E3" s="5"/>
      <c r="F3" s="5"/>
      <c r="G3" s="5"/>
      <c r="H3" s="46"/>
      <c r="I3" s="126"/>
      <c r="J3" s="6"/>
      <c r="K3" s="6"/>
      <c r="L3" s="211"/>
      <c r="M3" s="6"/>
      <c r="N3" s="54"/>
      <c r="O3" s="54"/>
      <c r="P3" s="106"/>
    </row>
    <row r="4" spans="1:22">
      <c r="A4" s="31" t="s">
        <v>206</v>
      </c>
      <c r="B4" s="5" t="s">
        <v>208</v>
      </c>
      <c r="C4" s="5" t="s">
        <v>32</v>
      </c>
      <c r="D4" s="5" t="s">
        <v>37</v>
      </c>
      <c r="E4" s="5" t="s">
        <v>31</v>
      </c>
      <c r="F4" s="26" t="s">
        <v>49</v>
      </c>
      <c r="G4" s="26" t="s">
        <v>45</v>
      </c>
      <c r="H4" s="84" t="s">
        <v>23</v>
      </c>
      <c r="I4" s="32" t="s">
        <v>8</v>
      </c>
      <c r="J4" s="6" t="s">
        <v>14</v>
      </c>
      <c r="K4" s="6" t="s">
        <v>34</v>
      </c>
      <c r="L4" s="32" t="s">
        <v>4</v>
      </c>
      <c r="M4" s="6" t="s">
        <v>155</v>
      </c>
      <c r="N4" s="32" t="s">
        <v>27</v>
      </c>
      <c r="O4" s="32" t="s">
        <v>44</v>
      </c>
      <c r="P4" s="106" t="s">
        <v>28</v>
      </c>
    </row>
    <row r="5" spans="1:22">
      <c r="A5" s="31" t="s">
        <v>207</v>
      </c>
      <c r="B5" s="5" t="s">
        <v>207</v>
      </c>
      <c r="C5" s="5" t="s">
        <v>48</v>
      </c>
      <c r="E5" s="5"/>
      <c r="F5" s="26"/>
      <c r="G5" s="26"/>
      <c r="H5" s="84" t="s">
        <v>42</v>
      </c>
      <c r="I5" s="32" t="s">
        <v>42</v>
      </c>
      <c r="J5" s="6" t="s">
        <v>9</v>
      </c>
      <c r="K5" s="6" t="s">
        <v>18</v>
      </c>
      <c r="L5" s="32" t="s">
        <v>42</v>
      </c>
      <c r="M5" s="6" t="s">
        <v>18</v>
      </c>
      <c r="N5" s="32" t="s">
        <v>42</v>
      </c>
      <c r="O5" s="32" t="s">
        <v>42</v>
      </c>
      <c r="P5" s="106" t="s">
        <v>5</v>
      </c>
    </row>
    <row r="6" spans="1:22" s="5" customFormat="1" ht="12.6" thickBot="1">
      <c r="A6" s="37"/>
      <c r="B6" s="33"/>
      <c r="C6" s="33" t="s">
        <v>173</v>
      </c>
      <c r="D6" s="38"/>
      <c r="E6" s="33"/>
      <c r="F6" s="39"/>
      <c r="G6" s="39"/>
      <c r="H6" s="130"/>
      <c r="I6" s="55"/>
      <c r="J6" s="40"/>
      <c r="K6" s="40"/>
      <c r="L6" s="55"/>
      <c r="M6" s="40"/>
      <c r="N6" s="55"/>
      <c r="O6" s="55"/>
      <c r="P6" s="107" t="s">
        <v>9</v>
      </c>
      <c r="Q6" s="13"/>
      <c r="R6" s="13"/>
      <c r="S6" s="13"/>
      <c r="T6" s="13"/>
      <c r="U6" s="13"/>
      <c r="V6" s="13"/>
    </row>
    <row r="7" spans="1:22" s="446" customFormat="1">
      <c r="A7" s="294" t="s">
        <v>146</v>
      </c>
      <c r="B7" s="294" t="s">
        <v>146</v>
      </c>
      <c r="C7" s="294">
        <v>5269</v>
      </c>
      <c r="D7" s="446" t="s">
        <v>391</v>
      </c>
      <c r="E7" s="446" t="s">
        <v>372</v>
      </c>
      <c r="F7" s="447" t="s">
        <v>451</v>
      </c>
      <c r="G7" s="446" t="s">
        <v>152</v>
      </c>
      <c r="H7" s="390">
        <v>150000000</v>
      </c>
      <c r="I7" s="390">
        <v>150000000</v>
      </c>
      <c r="J7" s="448">
        <v>44201</v>
      </c>
      <c r="K7" s="448">
        <f>J7+35</f>
        <v>44236</v>
      </c>
      <c r="L7" s="458">
        <v>150000000</v>
      </c>
      <c r="M7" s="448">
        <f>J7+210</f>
        <v>44411</v>
      </c>
      <c r="N7" s="547">
        <v>99734175.049999997</v>
      </c>
      <c r="O7" s="547">
        <f>L7-N7</f>
        <v>50265824.950000003</v>
      </c>
      <c r="P7" s="448">
        <v>44358</v>
      </c>
      <c r="Q7" s="457"/>
    </row>
    <row r="8" spans="1:22">
      <c r="A8" s="105"/>
      <c r="B8" s="105"/>
      <c r="C8" s="105"/>
      <c r="F8" s="36"/>
      <c r="H8" s="289"/>
      <c r="I8" s="289"/>
      <c r="J8" s="11"/>
      <c r="K8" s="11"/>
      <c r="L8" s="67"/>
      <c r="M8" s="11"/>
      <c r="N8" s="403"/>
      <c r="O8" s="403"/>
      <c r="P8" s="11"/>
      <c r="Q8" s="43"/>
    </row>
    <row r="9" spans="1:22">
      <c r="A9" s="105"/>
      <c r="B9" s="105"/>
      <c r="C9" s="105"/>
      <c r="F9" s="36"/>
      <c r="H9" s="289"/>
      <c r="I9" s="289"/>
      <c r="J9" s="11"/>
      <c r="K9" s="11"/>
      <c r="L9" s="67"/>
      <c r="M9" s="11"/>
      <c r="N9" s="403"/>
      <c r="O9" s="402"/>
      <c r="P9" s="11"/>
      <c r="Q9" s="43"/>
    </row>
    <row r="10" spans="1:22">
      <c r="A10" s="43"/>
      <c r="B10" s="43"/>
      <c r="C10" s="43"/>
      <c r="D10" s="43"/>
      <c r="E10" s="1"/>
      <c r="F10" s="13" t="s">
        <v>19</v>
      </c>
      <c r="H10" s="263">
        <f>SUM(H7:H9)</f>
        <v>150000000</v>
      </c>
      <c r="I10" s="263">
        <f>SUM(I7:I9)</f>
        <v>150000000</v>
      </c>
      <c r="J10" s="10"/>
      <c r="K10" s="10"/>
      <c r="L10" s="263">
        <f>SUM(L7:L9)</f>
        <v>150000000</v>
      </c>
      <c r="M10" s="10"/>
      <c r="N10" s="263">
        <f t="shared" ref="N10:O10" si="0">SUM(N7:N9)</f>
        <v>99734175.049999997</v>
      </c>
      <c r="O10" s="263">
        <f t="shared" si="0"/>
        <v>50265824.950000003</v>
      </c>
    </row>
    <row r="11" spans="1:22" s="1" customFormat="1">
      <c r="A11" s="5"/>
      <c r="B11" s="5"/>
      <c r="C11" s="5"/>
      <c r="D11" s="88"/>
      <c r="F11" s="13"/>
      <c r="H11" s="76"/>
      <c r="J11" s="11"/>
      <c r="K11" s="11"/>
      <c r="L11" s="9"/>
      <c r="M11" s="6"/>
      <c r="Q11" s="13"/>
    </row>
    <row r="12" spans="1:22" s="1" customFormat="1">
      <c r="A12" s="5"/>
      <c r="B12" s="5"/>
      <c r="C12" s="5"/>
      <c r="E12" s="5"/>
      <c r="F12" s="13" t="s">
        <v>43</v>
      </c>
      <c r="G12" s="5"/>
      <c r="H12" s="34">
        <f>SUM(H10-I10)</f>
        <v>0</v>
      </c>
      <c r="I12" s="9"/>
      <c r="L12" s="9"/>
      <c r="Q12" s="13"/>
    </row>
    <row r="13" spans="1:22" s="1" customFormat="1">
      <c r="A13" s="5"/>
      <c r="B13" s="5"/>
      <c r="C13" s="5"/>
      <c r="E13" s="5"/>
      <c r="G13" s="5"/>
      <c r="H13" s="67"/>
      <c r="I13" s="9"/>
      <c r="K13" s="138"/>
      <c r="L13" s="9"/>
      <c r="N13" s="76"/>
      <c r="Q13" s="13"/>
    </row>
    <row r="14" spans="1:22" s="1" customFormat="1">
      <c r="A14" s="5"/>
      <c r="B14" s="5"/>
      <c r="C14" s="5"/>
      <c r="E14" s="133"/>
      <c r="F14" s="58" t="s">
        <v>10</v>
      </c>
      <c r="G14" s="5"/>
      <c r="H14" s="77">
        <f>E1-I10+O10+G18</f>
        <v>307046627.94999999</v>
      </c>
      <c r="I14" s="292"/>
      <c r="J14" s="138"/>
      <c r="L14" s="9"/>
      <c r="M14" s="138"/>
      <c r="Q14" s="13"/>
    </row>
    <row r="15" spans="1:22">
      <c r="L15" s="35"/>
      <c r="O15" s="147"/>
    </row>
    <row r="16" spans="1:22">
      <c r="O16" s="147"/>
    </row>
    <row r="17" spans="5:12" s="13" customFormat="1">
      <c r="E17" s="5"/>
      <c r="F17" s="5"/>
      <c r="G17" s="90"/>
      <c r="H17" s="34"/>
      <c r="I17" s="378"/>
      <c r="J17" s="378"/>
      <c r="L17" s="35"/>
    </row>
    <row r="18" spans="5:12" s="13" customFormat="1">
      <c r="G18" s="315">
        <f>SUM(G16:G17)</f>
        <v>0</v>
      </c>
      <c r="H18" s="145"/>
      <c r="I18" s="34"/>
      <c r="L18" s="35"/>
    </row>
    <row r="19" spans="5:12" s="13" customFormat="1">
      <c r="E19" s="5"/>
      <c r="F19" s="5"/>
      <c r="G19" s="5"/>
      <c r="H19" s="35"/>
      <c r="I19" s="34"/>
      <c r="L19" s="34"/>
    </row>
    <row r="20" spans="5:12" s="13" customFormat="1">
      <c r="G20" s="98"/>
      <c r="H20" s="34"/>
      <c r="I20" s="34"/>
      <c r="L20" s="35"/>
    </row>
    <row r="21" spans="5:12" s="13" customFormat="1">
      <c r="G21" s="98"/>
      <c r="H21" s="135"/>
      <c r="I21" s="34"/>
      <c r="L21" s="34"/>
    </row>
    <row r="22" spans="5:12" s="13" customFormat="1">
      <c r="G22" s="117"/>
      <c r="H22" s="134"/>
      <c r="I22" s="34"/>
      <c r="L22" s="34"/>
    </row>
    <row r="23" spans="5:12" s="13" customFormat="1">
      <c r="G23" s="117"/>
      <c r="H23" s="134"/>
      <c r="I23" s="34"/>
      <c r="L23" s="34"/>
    </row>
  </sheetData>
  <phoneticPr fontId="0" type="noConversion"/>
  <pageMargins left="0.75" right="0.75" top="1" bottom="1" header="0.5" footer="0.5"/>
  <pageSetup scale="60" orientation="landscape" horizontalDpi="1200" verticalDpi="12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theme="0" tint="-0.249977111117893"/>
    <pageSetUpPr fitToPage="1"/>
  </sheetPr>
  <dimension ref="A1:V29"/>
  <sheetViews>
    <sheetView zoomScaleNormal="100" workbookViewId="0">
      <selection activeCell="H14" sqref="H14"/>
    </sheetView>
  </sheetViews>
  <sheetFormatPr defaultColWidth="10.875" defaultRowHeight="12"/>
  <cols>
    <col min="1" max="1" width="9.625" style="105" customWidth="1"/>
    <col min="2" max="2" width="7.125" style="105" bestFit="1" customWidth="1"/>
    <col min="3" max="3" width="10.125" style="105" bestFit="1" customWidth="1"/>
    <col min="4" max="4" width="12.125" style="105" bestFit="1" customWidth="1"/>
    <col min="5" max="5" width="17.875" style="105" bestFit="1" customWidth="1"/>
    <col min="6" max="6" width="25.25" style="105" customWidth="1"/>
    <col min="7" max="7" width="11.25" style="105" bestFit="1" customWidth="1"/>
    <col min="8" max="8" width="13.875" style="110" bestFit="1" customWidth="1"/>
    <col min="9" max="9" width="12.75" style="110" bestFit="1" customWidth="1"/>
    <col min="10" max="10" width="15.25" style="105" bestFit="1" customWidth="1"/>
    <col min="11" max="11" width="10.875" style="105" bestFit="1" customWidth="1"/>
    <col min="12" max="12" width="12.625" style="110" bestFit="1" customWidth="1"/>
    <col min="13" max="13" width="10.875" style="105" customWidth="1"/>
    <col min="14" max="14" width="15.25" style="110" bestFit="1" customWidth="1"/>
    <col min="15" max="15" width="12.25" style="110" bestFit="1" customWidth="1"/>
    <col min="16" max="16" width="10.625" style="105" bestFit="1" customWidth="1"/>
    <col min="17" max="16384" width="10.875" style="105"/>
  </cols>
  <sheetData>
    <row r="1" spans="1:22" s="102" customFormat="1">
      <c r="A1" s="16" t="s">
        <v>24</v>
      </c>
      <c r="B1" s="291"/>
      <c r="C1" s="291"/>
      <c r="D1" s="17"/>
      <c r="E1" s="385">
        <f>Totals!E8</f>
        <v>81356160</v>
      </c>
      <c r="F1" s="18"/>
      <c r="G1" s="18"/>
      <c r="H1" s="332"/>
      <c r="I1" s="333"/>
      <c r="J1" s="284"/>
      <c r="K1" s="284"/>
      <c r="L1" s="333"/>
      <c r="M1" s="284"/>
      <c r="N1" s="332"/>
      <c r="O1" s="332"/>
      <c r="P1" s="23"/>
      <c r="Q1" s="105"/>
      <c r="R1" s="105"/>
      <c r="S1" s="105"/>
      <c r="T1" s="105"/>
      <c r="U1" s="105"/>
      <c r="V1" s="105"/>
    </row>
    <row r="2" spans="1:22">
      <c r="A2" s="25" t="s">
        <v>36</v>
      </c>
      <c r="B2" s="48"/>
      <c r="C2" s="48"/>
      <c r="D2" s="5"/>
      <c r="E2" s="26"/>
      <c r="F2" s="26"/>
      <c r="G2" s="26"/>
      <c r="H2" s="46"/>
      <c r="I2" s="47"/>
      <c r="J2" s="6"/>
      <c r="K2" s="6"/>
      <c r="L2" s="47"/>
      <c r="M2" s="6"/>
      <c r="N2" s="46"/>
      <c r="O2" s="46"/>
      <c r="P2" s="106"/>
    </row>
    <row r="3" spans="1:22">
      <c r="A3" s="31"/>
      <c r="B3" s="5"/>
      <c r="C3" s="5"/>
      <c r="D3" s="5"/>
      <c r="E3" s="5"/>
      <c r="F3" s="5"/>
      <c r="G3" s="5"/>
      <c r="H3" s="46"/>
      <c r="I3" s="126"/>
      <c r="J3" s="6"/>
      <c r="K3" s="6"/>
      <c r="L3" s="211"/>
      <c r="M3" s="6"/>
      <c r="N3" s="54"/>
      <c r="O3" s="54"/>
      <c r="P3" s="106"/>
    </row>
    <row r="4" spans="1:22" s="103" customFormat="1">
      <c r="A4" s="31" t="s">
        <v>206</v>
      </c>
      <c r="B4" s="5" t="s">
        <v>208</v>
      </c>
      <c r="C4" s="5" t="s">
        <v>32</v>
      </c>
      <c r="D4" s="5" t="s">
        <v>37</v>
      </c>
      <c r="E4" s="5" t="s">
        <v>31</v>
      </c>
      <c r="F4" s="26" t="s">
        <v>49</v>
      </c>
      <c r="G4" s="26" t="s">
        <v>45</v>
      </c>
      <c r="H4" s="84" t="s">
        <v>23</v>
      </c>
      <c r="I4" s="32" t="s">
        <v>8</v>
      </c>
      <c r="J4" s="6" t="s">
        <v>14</v>
      </c>
      <c r="K4" s="6" t="s">
        <v>34</v>
      </c>
      <c r="L4" s="32" t="s">
        <v>4</v>
      </c>
      <c r="M4" s="6" t="s">
        <v>156</v>
      </c>
      <c r="N4" s="32" t="s">
        <v>27</v>
      </c>
      <c r="O4" s="32" t="s">
        <v>44</v>
      </c>
      <c r="P4" s="106" t="s">
        <v>22</v>
      </c>
      <c r="Q4" s="105"/>
      <c r="R4" s="105"/>
      <c r="S4" s="105"/>
      <c r="T4" s="105"/>
      <c r="U4" s="105"/>
      <c r="V4" s="105"/>
    </row>
    <row r="5" spans="1:22" s="103" customFormat="1">
      <c r="A5" s="31" t="s">
        <v>207</v>
      </c>
      <c r="B5" s="5" t="s">
        <v>207</v>
      </c>
      <c r="C5" s="5" t="s">
        <v>48</v>
      </c>
      <c r="D5" s="13"/>
      <c r="E5" s="5"/>
      <c r="F5" s="26"/>
      <c r="G5" s="26"/>
      <c r="H5" s="84" t="s">
        <v>42</v>
      </c>
      <c r="I5" s="32" t="s">
        <v>42</v>
      </c>
      <c r="J5" s="6" t="s">
        <v>9</v>
      </c>
      <c r="K5" s="6" t="s">
        <v>18</v>
      </c>
      <c r="L5" s="32" t="s">
        <v>42</v>
      </c>
      <c r="M5" s="6" t="s">
        <v>18</v>
      </c>
      <c r="N5" s="32" t="s">
        <v>42</v>
      </c>
      <c r="O5" s="32" t="s">
        <v>42</v>
      </c>
      <c r="P5" s="106" t="s">
        <v>5</v>
      </c>
      <c r="Q5" s="105"/>
      <c r="R5" s="105"/>
      <c r="S5" s="105"/>
      <c r="T5" s="105"/>
      <c r="U5" s="105"/>
      <c r="V5" s="105"/>
    </row>
    <row r="6" spans="1:22" s="103" customFormat="1" ht="12.6" thickBot="1">
      <c r="A6" s="37"/>
      <c r="B6" s="33"/>
      <c r="C6" s="33" t="s">
        <v>173</v>
      </c>
      <c r="D6" s="38"/>
      <c r="E6" s="33"/>
      <c r="F6" s="39"/>
      <c r="G6" s="39"/>
      <c r="H6" s="130"/>
      <c r="I6" s="55"/>
      <c r="J6" s="40"/>
      <c r="K6" s="40"/>
      <c r="L6" s="55"/>
      <c r="M6" s="40"/>
      <c r="N6" s="55"/>
      <c r="O6" s="55"/>
      <c r="P6" s="107" t="s">
        <v>9</v>
      </c>
      <c r="Q6" s="105"/>
      <c r="R6" s="105"/>
      <c r="S6" s="105"/>
      <c r="T6" s="105"/>
      <c r="U6" s="105"/>
      <c r="V6" s="105"/>
    </row>
    <row r="7" spans="1:22" s="446" customFormat="1">
      <c r="A7" s="294"/>
      <c r="B7" s="294"/>
      <c r="C7" s="294"/>
      <c r="F7" s="447"/>
      <c r="H7" s="390"/>
      <c r="I7" s="390"/>
      <c r="J7" s="448"/>
      <c r="K7" s="448"/>
      <c r="L7" s="458"/>
      <c r="M7" s="448"/>
      <c r="N7" s="458"/>
      <c r="O7" s="458"/>
      <c r="P7" s="448"/>
      <c r="Q7" s="457"/>
    </row>
    <row r="8" spans="1:22" s="13" customFormat="1">
      <c r="A8" s="105"/>
      <c r="B8" s="105"/>
      <c r="C8" s="105"/>
      <c r="F8" s="36"/>
      <c r="H8" s="289"/>
      <c r="I8" s="289"/>
      <c r="J8" s="11"/>
      <c r="K8" s="11"/>
      <c r="L8" s="67"/>
      <c r="M8" s="11"/>
      <c r="N8" s="67"/>
      <c r="O8" s="67"/>
      <c r="P8" s="11"/>
      <c r="Q8" s="43"/>
    </row>
    <row r="9" spans="1:22" customFormat="1">
      <c r="A9" s="43"/>
      <c r="B9" s="43"/>
      <c r="C9" s="43"/>
      <c r="D9" s="470"/>
      <c r="E9" s="43"/>
      <c r="F9" s="148"/>
      <c r="G9" s="148"/>
      <c r="H9" s="59"/>
      <c r="I9" s="59"/>
      <c r="J9" s="152"/>
      <c r="K9" s="152"/>
      <c r="L9" s="471"/>
      <c r="M9" s="152"/>
      <c r="N9" s="471"/>
      <c r="O9" s="471"/>
      <c r="P9" s="200"/>
    </row>
    <row r="10" spans="1:22" s="13" customFormat="1">
      <c r="A10" s="43"/>
      <c r="B10" s="43"/>
      <c r="C10" s="43"/>
      <c r="D10" s="43"/>
      <c r="E10" s="1"/>
      <c r="F10" s="13" t="s">
        <v>19</v>
      </c>
      <c r="H10" s="263">
        <f>SUM(H7:H9)</f>
        <v>0</v>
      </c>
      <c r="I10" s="263">
        <f>SUM(I7:I9)</f>
        <v>0</v>
      </c>
      <c r="J10" s="10"/>
      <c r="K10" s="10"/>
      <c r="L10" s="263">
        <f>SUM(L7:L9)</f>
        <v>0</v>
      </c>
      <c r="M10" s="10"/>
      <c r="N10" s="263">
        <f>SUM(N7:N9)</f>
        <v>0</v>
      </c>
      <c r="O10" s="263">
        <f>SUM(O7:O9)</f>
        <v>0</v>
      </c>
    </row>
    <row r="11" spans="1:22" s="1" customFormat="1">
      <c r="A11" s="5"/>
      <c r="B11" s="5"/>
      <c r="C11" s="5"/>
      <c r="D11" s="88"/>
      <c r="F11" s="13"/>
      <c r="H11" s="76"/>
      <c r="J11" s="11"/>
      <c r="K11" s="11"/>
      <c r="L11" s="9"/>
      <c r="M11" s="6"/>
      <c r="Q11" s="13"/>
    </row>
    <row r="12" spans="1:22" s="1" customFormat="1">
      <c r="A12" s="5"/>
      <c r="B12" s="5"/>
      <c r="C12" s="5"/>
      <c r="E12" s="5"/>
      <c r="F12" s="13" t="s">
        <v>43</v>
      </c>
      <c r="G12" s="5"/>
      <c r="H12" s="34">
        <f>H10-I10</f>
        <v>0</v>
      </c>
      <c r="I12" s="9"/>
      <c r="L12" s="9"/>
      <c r="Q12" s="13"/>
    </row>
    <row r="13" spans="1:22" s="1" customFormat="1">
      <c r="A13" s="5"/>
      <c r="B13" s="5"/>
      <c r="C13" s="5"/>
      <c r="E13" s="5"/>
      <c r="G13" s="5"/>
      <c r="H13" s="67"/>
      <c r="I13" s="9"/>
      <c r="K13" s="138"/>
      <c r="L13" s="9"/>
      <c r="N13" s="76"/>
      <c r="Q13" s="13"/>
    </row>
    <row r="14" spans="1:22" s="1" customFormat="1">
      <c r="A14" s="5"/>
      <c r="B14" s="5"/>
      <c r="C14" s="5"/>
      <c r="E14" s="133"/>
      <c r="F14" s="58" t="s">
        <v>10</v>
      </c>
      <c r="G14" s="5"/>
      <c r="H14" s="77">
        <f>+E1-I10+O10+G18</f>
        <v>81356160</v>
      </c>
      <c r="I14" s="292"/>
      <c r="J14" s="138"/>
      <c r="L14" s="9"/>
      <c r="M14" s="138"/>
      <c r="Q14" s="13"/>
    </row>
    <row r="15" spans="1:22" s="1" customFormat="1">
      <c r="A15" s="5"/>
      <c r="B15" s="5"/>
      <c r="C15" s="5"/>
      <c r="E15" s="133"/>
      <c r="F15" s="58"/>
      <c r="G15" s="5"/>
      <c r="H15" s="124"/>
      <c r="I15" s="292"/>
      <c r="J15" s="138"/>
      <c r="L15" s="9"/>
      <c r="M15" s="138"/>
      <c r="Q15" s="13"/>
    </row>
    <row r="16" spans="1:22" s="1" customFormat="1">
      <c r="A16" s="5"/>
      <c r="B16" s="5"/>
      <c r="C16" s="5"/>
      <c r="E16" s="133"/>
      <c r="F16" s="58"/>
      <c r="G16" s="5"/>
      <c r="H16" s="124"/>
      <c r="I16" s="292"/>
      <c r="J16" s="138"/>
      <c r="L16" s="9"/>
      <c r="M16" s="138"/>
      <c r="Q16" s="13"/>
    </row>
    <row r="17" spans="1:22">
      <c r="A17" s="111"/>
      <c r="B17" s="111"/>
      <c r="C17" s="111"/>
      <c r="G17" s="294"/>
      <c r="J17" s="109"/>
      <c r="K17" s="109"/>
      <c r="M17" s="109"/>
      <c r="P17" s="108"/>
      <c r="Q17" s="103"/>
      <c r="R17" s="103"/>
      <c r="S17" s="103"/>
      <c r="T17" s="103"/>
      <c r="U17" s="103"/>
      <c r="V17" s="103"/>
    </row>
    <row r="18" spans="1:22">
      <c r="E18" s="103"/>
      <c r="F18" s="103"/>
      <c r="G18" s="315">
        <f>SUM(G16:G17)</f>
        <v>0</v>
      </c>
      <c r="H18" s="104"/>
      <c r="I18" s="141"/>
      <c r="J18" s="141"/>
    </row>
    <row r="20" spans="1:22">
      <c r="E20" s="103"/>
      <c r="F20" s="103"/>
      <c r="G20" s="103"/>
      <c r="H20" s="112"/>
    </row>
    <row r="24" spans="1:22">
      <c r="H24" s="146"/>
    </row>
    <row r="29" spans="1:22">
      <c r="K29" s="105" t="s">
        <v>7</v>
      </c>
    </row>
  </sheetData>
  <phoneticPr fontId="0" type="noConversion"/>
  <pageMargins left="0.75" right="0.75" top="1" bottom="1" header="0.5" footer="0.5"/>
  <pageSetup scale="65" fitToHeight="0" orientation="landscape" horizontalDpi="4294967292" verticalDpi="4294967292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theme="0" tint="-0.249977111117893"/>
  </sheetPr>
  <dimension ref="A1:V42"/>
  <sheetViews>
    <sheetView workbookViewId="0">
      <selection activeCell="H14" sqref="H14"/>
    </sheetView>
  </sheetViews>
  <sheetFormatPr defaultColWidth="10.875" defaultRowHeight="12"/>
  <cols>
    <col min="1" max="1" width="9.375" style="13" customWidth="1"/>
    <col min="2" max="2" width="7.125" style="13" bestFit="1" customWidth="1"/>
    <col min="3" max="3" width="10.125" style="13" bestFit="1" customWidth="1"/>
    <col min="4" max="4" width="13.25" style="13" bestFit="1" customWidth="1"/>
    <col min="5" max="5" width="23" style="13" customWidth="1"/>
    <col min="6" max="6" width="40.25" style="13" customWidth="1"/>
    <col min="7" max="7" width="14" style="13" bestFit="1" customWidth="1"/>
    <col min="8" max="8" width="15.25" style="57" bestFit="1" customWidth="1"/>
    <col min="9" max="9" width="13.875" style="34" bestFit="1" customWidth="1"/>
    <col min="10" max="10" width="15.25" style="13" bestFit="1" customWidth="1"/>
    <col min="11" max="11" width="10.875" style="13" bestFit="1" customWidth="1"/>
    <col min="12" max="12" width="12.625" style="34" bestFit="1" customWidth="1"/>
    <col min="13" max="13" width="14.125" style="13" customWidth="1"/>
    <col min="14" max="14" width="15.25" style="12" bestFit="1" customWidth="1"/>
    <col min="15" max="15" width="13.125" style="12" bestFit="1" customWidth="1"/>
    <col min="16" max="16" width="10.625" style="13" bestFit="1" customWidth="1"/>
    <col min="17" max="17" width="10.25" style="13" bestFit="1" customWidth="1"/>
    <col min="18" max="18" width="35.25" style="13" bestFit="1" customWidth="1"/>
    <col min="19" max="19" width="12.75" style="13" bestFit="1" customWidth="1"/>
    <col min="20" max="16384" width="10.875" style="13"/>
  </cols>
  <sheetData>
    <row r="1" spans="1:22" s="17" customFormat="1" ht="11.4">
      <c r="A1" s="16" t="s">
        <v>12</v>
      </c>
      <c r="B1" s="291"/>
      <c r="C1" s="291"/>
      <c r="E1" s="382">
        <f>Totals!F8</f>
        <v>106779961</v>
      </c>
      <c r="F1" s="18"/>
      <c r="G1" s="18"/>
      <c r="H1" s="332"/>
      <c r="I1" s="333"/>
      <c r="J1" s="284"/>
      <c r="K1" s="284"/>
      <c r="L1" s="333"/>
      <c r="M1" s="284"/>
      <c r="N1" s="332"/>
      <c r="O1" s="332"/>
      <c r="P1" s="284"/>
      <c r="R1" s="285"/>
      <c r="S1" s="5"/>
      <c r="T1" s="5"/>
      <c r="U1" s="5"/>
      <c r="V1" s="5"/>
    </row>
    <row r="2" spans="1:22" s="5" customFormat="1" ht="11.4">
      <c r="A2" s="25" t="s">
        <v>1</v>
      </c>
      <c r="B2" s="48"/>
      <c r="C2" s="48"/>
      <c r="E2" s="26"/>
      <c r="F2" s="26"/>
      <c r="G2" s="26"/>
      <c r="H2" s="46"/>
      <c r="I2" s="47"/>
      <c r="J2" s="6"/>
      <c r="K2" s="6"/>
      <c r="L2" s="47"/>
      <c r="M2" s="6"/>
      <c r="N2" s="46"/>
      <c r="O2" s="46"/>
      <c r="P2" s="6"/>
      <c r="R2" s="286"/>
    </row>
    <row r="3" spans="1:22" s="1" customFormat="1">
      <c r="A3" s="31"/>
      <c r="B3" s="5"/>
      <c r="C3" s="5"/>
      <c r="D3" s="5"/>
      <c r="E3" s="5"/>
      <c r="F3" s="5"/>
      <c r="G3" s="5"/>
      <c r="H3" s="46"/>
      <c r="I3" s="126"/>
      <c r="J3" s="6"/>
      <c r="K3" s="6"/>
      <c r="L3" s="211"/>
      <c r="M3" s="6"/>
      <c r="N3" s="54"/>
      <c r="O3" s="54"/>
      <c r="P3" s="6"/>
      <c r="R3" s="287"/>
    </row>
    <row r="4" spans="1:22" s="5" customFormat="1">
      <c r="A4" s="31" t="s">
        <v>206</v>
      </c>
      <c r="B4" s="5" t="s">
        <v>208</v>
      </c>
      <c r="C4" s="5" t="s">
        <v>32</v>
      </c>
      <c r="D4" s="5" t="s">
        <v>37</v>
      </c>
      <c r="E4" s="5" t="s">
        <v>31</v>
      </c>
      <c r="F4" s="26" t="s">
        <v>49</v>
      </c>
      <c r="G4" s="26" t="s">
        <v>45</v>
      </c>
      <c r="H4" s="84" t="s">
        <v>23</v>
      </c>
      <c r="I4" s="32" t="s">
        <v>54</v>
      </c>
      <c r="J4" s="6" t="s">
        <v>14</v>
      </c>
      <c r="K4" s="6" t="s">
        <v>34</v>
      </c>
      <c r="L4" s="32" t="s">
        <v>4</v>
      </c>
      <c r="M4" s="6" t="s">
        <v>157</v>
      </c>
      <c r="N4" s="32" t="s">
        <v>27</v>
      </c>
      <c r="O4" s="32" t="s">
        <v>44</v>
      </c>
      <c r="P4" s="6" t="s">
        <v>22</v>
      </c>
      <c r="Q4" s="5" t="s">
        <v>172</v>
      </c>
      <c r="R4" s="30" t="s">
        <v>286</v>
      </c>
      <c r="S4" s="13"/>
      <c r="T4" s="13"/>
      <c r="U4" s="13"/>
      <c r="V4" s="13"/>
    </row>
    <row r="5" spans="1:22" s="5" customFormat="1">
      <c r="A5" s="31" t="s">
        <v>207</v>
      </c>
      <c r="B5" s="5" t="s">
        <v>207</v>
      </c>
      <c r="C5" s="5" t="s">
        <v>48</v>
      </c>
      <c r="D5" s="13"/>
      <c r="F5" s="26"/>
      <c r="G5" s="26"/>
      <c r="H5" s="84" t="s">
        <v>42</v>
      </c>
      <c r="I5" s="32" t="s">
        <v>55</v>
      </c>
      <c r="J5" s="6" t="s">
        <v>9</v>
      </c>
      <c r="K5" s="6" t="s">
        <v>18</v>
      </c>
      <c r="L5" s="32" t="s">
        <v>42</v>
      </c>
      <c r="M5" s="6" t="s">
        <v>18</v>
      </c>
      <c r="N5" s="32" t="s">
        <v>42</v>
      </c>
      <c r="O5" s="32" t="s">
        <v>42</v>
      </c>
      <c r="P5" s="6" t="s">
        <v>5</v>
      </c>
      <c r="Q5" s="5" t="s">
        <v>171</v>
      </c>
      <c r="R5" s="30" t="s">
        <v>287</v>
      </c>
      <c r="S5" s="13"/>
      <c r="T5" s="13"/>
      <c r="U5" s="13"/>
      <c r="V5" s="13"/>
    </row>
    <row r="6" spans="1:22" s="5" customFormat="1" ht="12.6" thickBot="1">
      <c r="A6" s="37"/>
      <c r="B6" s="33"/>
      <c r="C6" s="33" t="s">
        <v>173</v>
      </c>
      <c r="D6" s="38"/>
      <c r="E6" s="33"/>
      <c r="F6" s="39"/>
      <c r="G6" s="39"/>
      <c r="H6" s="130"/>
      <c r="I6" s="55"/>
      <c r="J6" s="40"/>
      <c r="K6" s="40"/>
      <c r="L6" s="55"/>
      <c r="M6" s="40"/>
      <c r="N6" s="55"/>
      <c r="O6" s="55"/>
      <c r="P6" s="40" t="s">
        <v>9</v>
      </c>
      <c r="Q6" s="38"/>
      <c r="R6" s="386" t="s">
        <v>9</v>
      </c>
      <c r="S6" s="13"/>
      <c r="T6" s="13"/>
      <c r="U6" s="13"/>
      <c r="V6" s="13"/>
    </row>
    <row r="7" spans="1:22" s="5" customFormat="1" ht="11.4">
      <c r="A7" s="5" t="s">
        <v>146</v>
      </c>
      <c r="B7" s="5" t="s">
        <v>146</v>
      </c>
      <c r="C7" s="5">
        <v>5270</v>
      </c>
      <c r="D7" s="5" t="s">
        <v>625</v>
      </c>
      <c r="E7" s="26" t="s">
        <v>150</v>
      </c>
      <c r="F7" s="5" t="s">
        <v>612</v>
      </c>
      <c r="G7" s="5" t="s">
        <v>79</v>
      </c>
      <c r="H7" s="410">
        <v>16500000</v>
      </c>
      <c r="I7" s="410">
        <v>16500000</v>
      </c>
      <c r="J7" s="6">
        <v>44201</v>
      </c>
      <c r="K7" s="6">
        <f>J7+35</f>
        <v>44236</v>
      </c>
      <c r="L7" s="352">
        <v>16500000</v>
      </c>
      <c r="M7" s="6">
        <f>J7+180</f>
        <v>44381</v>
      </c>
      <c r="N7" s="352"/>
      <c r="O7" s="352"/>
      <c r="P7" s="6"/>
      <c r="Q7" s="5" t="s">
        <v>272</v>
      </c>
      <c r="S7" s="495"/>
    </row>
    <row r="8" spans="1:22" s="446" customFormat="1">
      <c r="A8" s="446" t="s">
        <v>146</v>
      </c>
      <c r="B8" s="446" t="s">
        <v>146</v>
      </c>
      <c r="C8" s="446">
        <v>5320</v>
      </c>
      <c r="D8" s="446" t="s">
        <v>391</v>
      </c>
      <c r="E8" s="447" t="s">
        <v>150</v>
      </c>
      <c r="F8" s="446" t="s">
        <v>661</v>
      </c>
      <c r="G8" s="446" t="s">
        <v>79</v>
      </c>
      <c r="H8" s="540">
        <v>23500000</v>
      </c>
      <c r="I8" s="540">
        <f>H8</f>
        <v>23500000</v>
      </c>
      <c r="J8" s="448">
        <v>44224</v>
      </c>
      <c r="K8" s="448">
        <f>J8+35</f>
        <v>44259</v>
      </c>
      <c r="L8" s="525">
        <v>23500000</v>
      </c>
      <c r="M8" s="448">
        <f>J8+180</f>
        <v>44404</v>
      </c>
      <c r="N8" s="525">
        <v>0</v>
      </c>
      <c r="O8" s="525">
        <f>L8-N8</f>
        <v>23500000</v>
      </c>
      <c r="P8" s="448">
        <v>44356</v>
      </c>
      <c r="Q8" s="446" t="s">
        <v>272</v>
      </c>
      <c r="S8" s="541" t="s">
        <v>663</v>
      </c>
    </row>
    <row r="9" spans="1:22">
      <c r="E9" s="36"/>
      <c r="H9" s="59"/>
      <c r="I9" s="59"/>
      <c r="J9" s="11"/>
      <c r="K9" s="152"/>
      <c r="L9" s="498"/>
      <c r="M9" s="152"/>
      <c r="N9" s="302"/>
      <c r="O9" s="302"/>
      <c r="P9" s="11"/>
      <c r="S9" s="49"/>
    </row>
    <row r="10" spans="1:22">
      <c r="A10" s="43"/>
      <c r="B10" s="43"/>
      <c r="C10" s="43"/>
      <c r="D10" s="43"/>
      <c r="E10" s="1"/>
      <c r="F10" s="13" t="s">
        <v>19</v>
      </c>
      <c r="H10" s="263">
        <f>SUM(H7:H9)</f>
        <v>40000000</v>
      </c>
      <c r="I10" s="263">
        <f>SUM(I7:I9)</f>
        <v>40000000</v>
      </c>
      <c r="J10" s="10"/>
      <c r="K10" s="10"/>
      <c r="L10" s="263">
        <f>SUM(L7:L9)</f>
        <v>40000000</v>
      </c>
      <c r="M10" s="10"/>
      <c r="N10" s="263">
        <f>SUM(N7:N9)</f>
        <v>0</v>
      </c>
      <c r="O10" s="263">
        <f>SUM(O7:O9)</f>
        <v>23500000</v>
      </c>
    </row>
    <row r="11" spans="1:22" s="1" customFormat="1">
      <c r="A11" s="5"/>
      <c r="B11" s="5"/>
      <c r="C11" s="5"/>
      <c r="D11" s="88"/>
      <c r="F11" s="13"/>
      <c r="H11" s="76"/>
      <c r="J11" s="11"/>
      <c r="K11" s="11"/>
      <c r="L11" s="9"/>
      <c r="M11" s="6"/>
      <c r="P11" s="3"/>
      <c r="Q11" s="13"/>
    </row>
    <row r="12" spans="1:22" s="1" customFormat="1">
      <c r="A12" s="5"/>
      <c r="B12" s="5"/>
      <c r="C12" s="5"/>
      <c r="F12" s="13" t="s">
        <v>43</v>
      </c>
      <c r="G12" s="5"/>
      <c r="H12" s="34">
        <f>SUM(H10-I10)</f>
        <v>0</v>
      </c>
      <c r="I12" s="9"/>
      <c r="L12" s="9"/>
      <c r="Q12" s="13"/>
    </row>
    <row r="13" spans="1:22" s="1" customFormat="1">
      <c r="A13" s="5"/>
      <c r="B13" s="5"/>
      <c r="C13" s="5"/>
      <c r="G13" s="5"/>
      <c r="H13" s="67"/>
      <c r="I13" s="9"/>
      <c r="K13" s="138"/>
      <c r="L13" s="9"/>
      <c r="M13" s="3"/>
      <c r="N13" s="76"/>
      <c r="Q13" s="13"/>
    </row>
    <row r="14" spans="1:22" s="1" customFormat="1">
      <c r="A14" s="5"/>
      <c r="B14" s="5"/>
      <c r="C14" s="5"/>
      <c r="E14" s="133"/>
      <c r="F14" s="58" t="s">
        <v>10</v>
      </c>
      <c r="G14" s="5"/>
      <c r="H14" s="77">
        <f>E1-I10+O10+G18</f>
        <v>90279961</v>
      </c>
      <c r="I14" s="292"/>
      <c r="J14" s="138"/>
      <c r="L14" s="9"/>
      <c r="M14" s="3"/>
      <c r="N14" s="9"/>
      <c r="Q14" s="13"/>
    </row>
    <row r="15" spans="1:22" s="5" customFormat="1" ht="11.25" customHeight="1">
      <c r="A15" s="4"/>
      <c r="B15" s="4"/>
      <c r="C15" s="4"/>
      <c r="D15" s="48"/>
      <c r="E15" s="48"/>
      <c r="F15" s="4"/>
      <c r="G15" s="48"/>
      <c r="H15" s="75"/>
      <c r="I15" s="96"/>
      <c r="J15" s="6"/>
      <c r="K15" s="6"/>
      <c r="L15" s="60"/>
      <c r="M15" s="6"/>
      <c r="N15" s="44"/>
      <c r="O15" s="46"/>
      <c r="P15" s="6"/>
      <c r="Q15" s="48"/>
      <c r="T15" s="13"/>
      <c r="V15" s="67"/>
    </row>
    <row r="16" spans="1:22">
      <c r="G16" s="151"/>
      <c r="J16" s="11"/>
      <c r="L16" s="57"/>
    </row>
    <row r="17" spans="3:13" s="13" customFormat="1">
      <c r="C17" s="43"/>
      <c r="D17" s="43"/>
      <c r="E17" s="36"/>
      <c r="F17" s="36"/>
      <c r="G17" s="496"/>
      <c r="H17" s="389"/>
      <c r="I17" s="34"/>
      <c r="J17" s="11"/>
      <c r="L17" s="406"/>
    </row>
    <row r="18" spans="3:13" s="13" customFormat="1">
      <c r="G18" s="295">
        <f>SUM(G17:G17)</f>
        <v>0</v>
      </c>
      <c r="H18" s="57"/>
      <c r="I18" s="34"/>
      <c r="J18" s="11"/>
      <c r="K18" s="98"/>
      <c r="L18" s="34"/>
    </row>
    <row r="19" spans="3:13" s="13" customFormat="1">
      <c r="G19" s="67"/>
      <c r="H19" s="57"/>
      <c r="I19" s="34"/>
      <c r="K19" s="98"/>
      <c r="L19" s="35"/>
    </row>
    <row r="20" spans="3:13" s="13" customFormat="1">
      <c r="G20" s="67"/>
      <c r="H20" s="57"/>
      <c r="I20" s="34"/>
      <c r="K20" s="98"/>
      <c r="L20" s="34"/>
    </row>
    <row r="21" spans="3:13" s="13" customFormat="1">
      <c r="G21" s="67"/>
      <c r="H21" s="57"/>
      <c r="I21" s="34"/>
      <c r="K21" s="98"/>
      <c r="L21" s="208"/>
      <c r="M21" s="11"/>
    </row>
    <row r="22" spans="3:13" s="13" customFormat="1">
      <c r="G22" s="67"/>
      <c r="H22" s="57"/>
      <c r="I22" s="34"/>
      <c r="K22" s="98"/>
      <c r="L22" s="35"/>
    </row>
    <row r="23" spans="3:13" s="13" customFormat="1">
      <c r="G23" s="67"/>
      <c r="H23" s="57"/>
      <c r="I23" s="34"/>
      <c r="K23" s="98"/>
      <c r="L23" s="34"/>
    </row>
    <row r="24" spans="3:13" s="13" customFormat="1">
      <c r="G24" s="67"/>
      <c r="H24" s="57"/>
      <c r="I24" s="34"/>
      <c r="K24" s="98"/>
      <c r="L24" s="60"/>
      <c r="M24" s="394"/>
    </row>
    <row r="25" spans="3:13" s="13" customFormat="1">
      <c r="G25" s="67"/>
      <c r="H25" s="57"/>
      <c r="I25" s="34"/>
      <c r="K25" s="98"/>
      <c r="L25" s="15"/>
      <c r="M25" s="394"/>
    </row>
    <row r="26" spans="3:13" s="13" customFormat="1">
      <c r="G26" s="67"/>
      <c r="H26" s="57"/>
      <c r="I26" s="34"/>
      <c r="K26" s="98"/>
      <c r="L26" s="398"/>
      <c r="M26" s="49"/>
    </row>
    <row r="27" spans="3:13" s="13" customFormat="1">
      <c r="G27" s="67"/>
      <c r="H27" s="57"/>
      <c r="I27" s="34"/>
      <c r="K27" s="98"/>
      <c r="L27" s="398"/>
      <c r="M27" s="49"/>
    </row>
    <row r="28" spans="3:13" s="13" customFormat="1">
      <c r="G28" s="67"/>
      <c r="H28" s="57"/>
      <c r="I28" s="34"/>
      <c r="K28" s="98"/>
      <c r="L28" s="34"/>
    </row>
    <row r="29" spans="3:13" s="13" customFormat="1">
      <c r="G29" s="67"/>
      <c r="H29" s="57"/>
      <c r="I29" s="34"/>
      <c r="K29" s="98"/>
      <c r="L29" s="398"/>
    </row>
    <row r="30" spans="3:13" s="13" customFormat="1">
      <c r="G30" s="67"/>
      <c r="H30" s="57"/>
      <c r="I30" s="34"/>
      <c r="K30" s="98"/>
      <c r="L30" s="398"/>
    </row>
    <row r="31" spans="3:13" s="13" customFormat="1">
      <c r="G31" s="67"/>
      <c r="H31" s="57"/>
      <c r="I31" s="34"/>
      <c r="K31" s="98"/>
      <c r="L31" s="34"/>
    </row>
    <row r="32" spans="3:13" s="13" customFormat="1">
      <c r="G32" s="67"/>
      <c r="H32" s="57"/>
      <c r="I32" s="34"/>
      <c r="K32" s="98"/>
      <c r="L32" s="34"/>
    </row>
    <row r="33" spans="7:11" s="13" customFormat="1">
      <c r="G33" s="67"/>
      <c r="H33" s="57"/>
      <c r="I33" s="34"/>
      <c r="K33" s="98"/>
    </row>
    <row r="34" spans="7:11" s="13" customFormat="1">
      <c r="G34" s="67"/>
      <c r="H34" s="57"/>
      <c r="I34" s="34"/>
      <c r="K34" s="98"/>
    </row>
    <row r="35" spans="7:11" s="13" customFormat="1">
      <c r="G35" s="67"/>
      <c r="H35" s="57"/>
      <c r="I35" s="34"/>
      <c r="K35" s="98"/>
    </row>
    <row r="36" spans="7:11" s="13" customFormat="1">
      <c r="G36" s="67"/>
      <c r="H36" s="57"/>
      <c r="I36" s="34"/>
      <c r="K36" s="98"/>
    </row>
    <row r="37" spans="7:11" s="13" customFormat="1">
      <c r="G37" s="67"/>
      <c r="H37" s="57"/>
      <c r="I37" s="34"/>
      <c r="K37" s="98"/>
    </row>
    <row r="38" spans="7:11" s="13" customFormat="1">
      <c r="G38" s="67"/>
      <c r="H38" s="57"/>
      <c r="I38" s="34"/>
      <c r="K38" s="98"/>
    </row>
    <row r="39" spans="7:11" s="13" customFormat="1">
      <c r="G39" s="67"/>
      <c r="H39" s="57"/>
      <c r="I39" s="34"/>
      <c r="K39" s="98"/>
    </row>
    <row r="40" spans="7:11" s="13" customFormat="1">
      <c r="G40" s="67"/>
      <c r="H40" s="57"/>
      <c r="I40" s="34"/>
      <c r="K40" s="98"/>
    </row>
    <row r="41" spans="7:11" s="13" customFormat="1">
      <c r="G41" s="67"/>
      <c r="H41" s="57"/>
      <c r="I41" s="34"/>
      <c r="K41" s="98"/>
    </row>
    <row r="42" spans="7:11" s="13" customFormat="1">
      <c r="G42" s="67"/>
      <c r="H42" s="57"/>
      <c r="I42" s="34"/>
      <c r="K42" s="98"/>
    </row>
  </sheetData>
  <phoneticPr fontId="3" type="noConversion"/>
  <pageMargins left="0.75" right="0.75" top="1" bottom="1" header="0.5" footer="0.5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theme="0" tint="-0.249977111117893"/>
  </sheetPr>
  <dimension ref="A1:V34"/>
  <sheetViews>
    <sheetView zoomScaleNormal="100" workbookViewId="0">
      <pane ySplit="6" topLeftCell="A7" activePane="bottomLeft" state="frozen"/>
      <selection activeCell="K30" sqref="I28:K30"/>
      <selection pane="bottomLeft" activeCell="H16" sqref="H16"/>
    </sheetView>
  </sheetViews>
  <sheetFormatPr defaultColWidth="10.875" defaultRowHeight="12"/>
  <cols>
    <col min="1" max="1" width="9.75" style="13" customWidth="1"/>
    <col min="2" max="2" width="7.125" style="13" bestFit="1" customWidth="1"/>
    <col min="3" max="3" width="10.125" style="13" bestFit="1" customWidth="1"/>
    <col min="4" max="4" width="13" style="13" bestFit="1" customWidth="1"/>
    <col min="5" max="5" width="28" style="13" customWidth="1"/>
    <col min="6" max="6" width="37.75" style="13" bestFit="1" customWidth="1"/>
    <col min="7" max="7" width="12.25" style="13" bestFit="1" customWidth="1"/>
    <col min="8" max="8" width="13.875" style="65" bestFit="1" customWidth="1"/>
    <col min="9" max="9" width="12.75" style="65" bestFit="1" customWidth="1"/>
    <col min="10" max="10" width="15.25" style="127" bestFit="1" customWidth="1"/>
    <col min="11" max="11" width="10.875" style="13" customWidth="1"/>
    <col min="12" max="12" width="12.625" style="60" bestFit="1" customWidth="1"/>
    <col min="13" max="13" width="10.875" style="13" bestFit="1" customWidth="1"/>
    <col min="14" max="14" width="15.25" style="12" bestFit="1" customWidth="1"/>
    <col min="15" max="15" width="12.25" style="41" bestFit="1" customWidth="1"/>
    <col min="16" max="16" width="10.625" style="13" bestFit="1" customWidth="1"/>
    <col min="17" max="17" width="10.25" style="13" bestFit="1" customWidth="1"/>
    <col min="18" max="18" width="42.25" style="13" bestFit="1" customWidth="1"/>
    <col min="19" max="19" width="26.875" style="13" bestFit="1" customWidth="1"/>
    <col min="20" max="16384" width="10.875" style="13"/>
  </cols>
  <sheetData>
    <row r="1" spans="1:22" s="17" customFormat="1" ht="11.4">
      <c r="A1" s="16" t="s">
        <v>12</v>
      </c>
      <c r="B1" s="291"/>
      <c r="C1" s="291"/>
      <c r="E1" s="385">
        <f>Totals!G8</f>
        <v>213559922</v>
      </c>
      <c r="F1" s="18"/>
      <c r="G1" s="18"/>
      <c r="H1" s="332"/>
      <c r="I1" s="333"/>
      <c r="J1" s="284"/>
      <c r="K1" s="284"/>
      <c r="L1" s="333"/>
      <c r="M1" s="284"/>
      <c r="N1" s="332"/>
      <c r="O1" s="332"/>
      <c r="P1" s="284"/>
      <c r="R1" s="285"/>
      <c r="S1" s="5"/>
      <c r="T1" s="5"/>
      <c r="U1" s="5"/>
      <c r="V1" s="5"/>
    </row>
    <row r="2" spans="1:22" s="5" customFormat="1" ht="11.4">
      <c r="A2" s="25" t="s">
        <v>1</v>
      </c>
      <c r="B2" s="48"/>
      <c r="C2" s="48"/>
      <c r="E2" s="26"/>
      <c r="F2" s="26"/>
      <c r="G2" s="26"/>
      <c r="H2" s="46"/>
      <c r="I2" s="47"/>
      <c r="J2" s="6"/>
      <c r="K2" s="6"/>
      <c r="L2" s="47"/>
      <c r="M2" s="6"/>
      <c r="N2" s="46" t="s">
        <v>53</v>
      </c>
      <c r="O2" s="46"/>
      <c r="P2" s="6"/>
      <c r="R2" s="286"/>
    </row>
    <row r="3" spans="1:22" s="1" customFormat="1">
      <c r="A3" s="31"/>
      <c r="B3" s="5"/>
      <c r="C3" s="5"/>
      <c r="D3" s="5"/>
      <c r="E3" s="5"/>
      <c r="F3" s="5"/>
      <c r="G3" s="5"/>
      <c r="H3" s="46"/>
      <c r="I3" s="126"/>
      <c r="J3" s="6"/>
      <c r="K3" s="6"/>
      <c r="L3" s="211"/>
      <c r="M3" s="6"/>
      <c r="N3" s="54"/>
      <c r="O3" s="54"/>
      <c r="P3" s="6"/>
      <c r="R3" s="287"/>
    </row>
    <row r="4" spans="1:22" s="5" customFormat="1">
      <c r="A4" s="31" t="s">
        <v>206</v>
      </c>
      <c r="B4" s="5" t="s">
        <v>208</v>
      </c>
      <c r="C4" s="5" t="s">
        <v>32</v>
      </c>
      <c r="D4" s="5" t="s">
        <v>37</v>
      </c>
      <c r="E4" s="5" t="s">
        <v>31</v>
      </c>
      <c r="F4" s="26" t="s">
        <v>49</v>
      </c>
      <c r="G4" s="26" t="s">
        <v>45</v>
      </c>
      <c r="H4" s="84" t="s">
        <v>23</v>
      </c>
      <c r="I4" s="32" t="s">
        <v>8</v>
      </c>
      <c r="J4" s="6" t="s">
        <v>14</v>
      </c>
      <c r="K4" s="6" t="s">
        <v>34</v>
      </c>
      <c r="L4" s="32" t="s">
        <v>4</v>
      </c>
      <c r="M4" s="6" t="s">
        <v>157</v>
      </c>
      <c r="N4" s="32" t="s">
        <v>27</v>
      </c>
      <c r="O4" s="32" t="s">
        <v>44</v>
      </c>
      <c r="P4" s="6" t="s">
        <v>22</v>
      </c>
      <c r="Q4" s="5" t="s">
        <v>172</v>
      </c>
      <c r="R4" s="30" t="s">
        <v>286</v>
      </c>
      <c r="S4" s="13"/>
      <c r="T4" s="13"/>
      <c r="U4" s="13"/>
      <c r="V4" s="13"/>
    </row>
    <row r="5" spans="1:22" s="5" customFormat="1">
      <c r="A5" s="31" t="s">
        <v>207</v>
      </c>
      <c r="B5" s="5" t="s">
        <v>207</v>
      </c>
      <c r="C5" s="5" t="s">
        <v>48</v>
      </c>
      <c r="D5" s="13"/>
      <c r="F5" s="26"/>
      <c r="G5" s="26"/>
      <c r="H5" s="84" t="s">
        <v>42</v>
      </c>
      <c r="I5" s="32" t="s">
        <v>42</v>
      </c>
      <c r="J5" s="6" t="s">
        <v>9</v>
      </c>
      <c r="K5" s="6" t="s">
        <v>18</v>
      </c>
      <c r="L5" s="32" t="s">
        <v>42</v>
      </c>
      <c r="M5" s="6" t="s">
        <v>18</v>
      </c>
      <c r="N5" s="32" t="s">
        <v>42</v>
      </c>
      <c r="O5" s="32" t="s">
        <v>42</v>
      </c>
      <c r="P5" s="6" t="s">
        <v>5</v>
      </c>
      <c r="Q5" s="5" t="s">
        <v>171</v>
      </c>
      <c r="R5" s="30" t="s">
        <v>287</v>
      </c>
      <c r="S5" s="13"/>
      <c r="T5" s="13"/>
      <c r="U5" s="13"/>
      <c r="V5" s="13"/>
    </row>
    <row r="6" spans="1:22" s="5" customFormat="1" ht="12.6" thickBot="1">
      <c r="A6" s="37"/>
      <c r="B6" s="33"/>
      <c r="C6" s="33" t="s">
        <v>173</v>
      </c>
      <c r="D6" s="38"/>
      <c r="E6" s="33"/>
      <c r="F6" s="39"/>
      <c r="G6" s="39"/>
      <c r="H6" s="130"/>
      <c r="I6" s="55"/>
      <c r="J6" s="40"/>
      <c r="K6" s="40"/>
      <c r="L6" s="55"/>
      <c r="M6" s="40"/>
      <c r="N6" s="55"/>
      <c r="O6" s="55"/>
      <c r="P6" s="40" t="s">
        <v>9</v>
      </c>
      <c r="Q6" s="38"/>
      <c r="R6" s="386" t="s">
        <v>9</v>
      </c>
      <c r="S6" s="13"/>
      <c r="T6" s="13"/>
      <c r="U6" s="13"/>
      <c r="V6" s="13"/>
    </row>
    <row r="7" spans="1:22" s="5" customFormat="1" ht="11.4">
      <c r="A7" s="5" t="s">
        <v>146</v>
      </c>
      <c r="B7" s="5" t="s">
        <v>146</v>
      </c>
      <c r="C7" s="5">
        <v>5326</v>
      </c>
      <c r="D7" s="5" t="s">
        <v>625</v>
      </c>
      <c r="E7" s="5" t="s">
        <v>76</v>
      </c>
      <c r="F7" s="5" t="s">
        <v>674</v>
      </c>
      <c r="G7" s="5" t="s">
        <v>78</v>
      </c>
      <c r="H7" s="349">
        <v>6000000</v>
      </c>
      <c r="I7" s="349">
        <f>H7</f>
        <v>6000000</v>
      </c>
      <c r="J7" s="6">
        <v>44253</v>
      </c>
      <c r="K7" s="6">
        <f>J7+35</f>
        <v>44288</v>
      </c>
      <c r="L7" s="349">
        <v>6000000</v>
      </c>
      <c r="M7" s="6">
        <f>J7+180</f>
        <v>44433</v>
      </c>
      <c r="N7" s="349"/>
      <c r="O7" s="349"/>
      <c r="P7" s="6"/>
      <c r="Q7" s="5" t="s">
        <v>264</v>
      </c>
      <c r="R7" s="489" t="s">
        <v>679</v>
      </c>
      <c r="S7" s="381" t="s">
        <v>682</v>
      </c>
    </row>
    <row r="8" spans="1:22">
      <c r="A8" s="13" t="s">
        <v>146</v>
      </c>
      <c r="B8" s="13" t="s">
        <v>146</v>
      </c>
      <c r="C8" s="13">
        <v>5327</v>
      </c>
      <c r="D8" s="13" t="s">
        <v>390</v>
      </c>
      <c r="E8" s="13" t="s">
        <v>76</v>
      </c>
      <c r="F8" s="13" t="s">
        <v>675</v>
      </c>
      <c r="G8" s="13" t="s">
        <v>78</v>
      </c>
      <c r="H8" s="289">
        <v>5000000</v>
      </c>
      <c r="I8" s="289">
        <f>H8</f>
        <v>5000000</v>
      </c>
      <c r="J8" s="11">
        <v>44253</v>
      </c>
      <c r="K8" s="11">
        <f>J8+35</f>
        <v>44288</v>
      </c>
      <c r="L8" s="289">
        <v>0</v>
      </c>
      <c r="M8" s="11">
        <f>J8+180</f>
        <v>44433</v>
      </c>
      <c r="N8" s="289">
        <v>0</v>
      </c>
      <c r="O8" s="289">
        <f>I8-N8</f>
        <v>5000000</v>
      </c>
      <c r="P8" s="11">
        <v>44287</v>
      </c>
      <c r="Q8" s="13" t="s">
        <v>209</v>
      </c>
      <c r="R8" s="445" t="s">
        <v>678</v>
      </c>
      <c r="S8" s="472" t="s">
        <v>683</v>
      </c>
    </row>
    <row r="9" spans="1:22" s="5" customFormat="1" ht="11.4">
      <c r="A9" s="5" t="s">
        <v>146</v>
      </c>
      <c r="B9" s="5" t="s">
        <v>146</v>
      </c>
      <c r="C9" s="5">
        <v>5366</v>
      </c>
      <c r="D9" s="5" t="s">
        <v>625</v>
      </c>
      <c r="E9" s="5" t="s">
        <v>76</v>
      </c>
      <c r="F9" s="5" t="s">
        <v>737</v>
      </c>
      <c r="G9" s="5" t="s">
        <v>80</v>
      </c>
      <c r="H9" s="349">
        <v>30500000</v>
      </c>
      <c r="I9" s="349">
        <f>H9</f>
        <v>30500000</v>
      </c>
      <c r="J9" s="6">
        <v>44323</v>
      </c>
      <c r="K9" s="6">
        <f>J9+35</f>
        <v>44358</v>
      </c>
      <c r="L9" s="349">
        <v>30500000</v>
      </c>
      <c r="M9" s="6">
        <f>J9+180</f>
        <v>44503</v>
      </c>
      <c r="N9" s="349"/>
      <c r="O9" s="349"/>
      <c r="P9" s="6"/>
      <c r="Q9" s="5" t="s">
        <v>272</v>
      </c>
      <c r="R9" s="142"/>
      <c r="S9" s="381" t="s">
        <v>748</v>
      </c>
    </row>
    <row r="10" spans="1:22" s="90" customFormat="1" ht="11.4">
      <c r="A10" s="90" t="s">
        <v>146</v>
      </c>
      <c r="B10" s="90" t="s">
        <v>146</v>
      </c>
      <c r="C10" s="90">
        <v>5370</v>
      </c>
      <c r="D10" s="90" t="s">
        <v>625</v>
      </c>
      <c r="E10" s="90" t="s">
        <v>76</v>
      </c>
      <c r="F10" s="90" t="s">
        <v>749</v>
      </c>
      <c r="G10" s="90" t="s">
        <v>78</v>
      </c>
      <c r="H10" s="481">
        <v>20000000</v>
      </c>
      <c r="I10" s="481">
        <f>H10</f>
        <v>20000000</v>
      </c>
      <c r="J10" s="92">
        <v>44330</v>
      </c>
      <c r="K10" s="92">
        <f>J10+35</f>
        <v>44365</v>
      </c>
      <c r="L10" s="481">
        <v>20000000</v>
      </c>
      <c r="M10" s="92">
        <f>J10+180</f>
        <v>44510</v>
      </c>
      <c r="N10" s="481"/>
      <c r="O10" s="481"/>
      <c r="P10" s="92"/>
      <c r="Q10" s="90" t="s">
        <v>264</v>
      </c>
      <c r="R10" s="492" t="s">
        <v>753</v>
      </c>
      <c r="S10" s="493" t="s">
        <v>755</v>
      </c>
    </row>
    <row r="11" spans="1:22">
      <c r="H11" s="289"/>
      <c r="I11" s="289"/>
      <c r="J11" s="11"/>
      <c r="K11" s="11"/>
      <c r="L11" s="289"/>
      <c r="M11" s="11"/>
      <c r="N11" s="289"/>
      <c r="O11" s="289"/>
      <c r="P11" s="11"/>
      <c r="R11" s="348"/>
    </row>
    <row r="12" spans="1:22">
      <c r="A12" s="43"/>
      <c r="B12" s="43"/>
      <c r="C12" s="43"/>
      <c r="D12" s="43"/>
      <c r="E12" s="1"/>
      <c r="F12" s="13" t="s">
        <v>19</v>
      </c>
      <c r="H12" s="263">
        <f>SUM(H7:H11)</f>
        <v>61500000</v>
      </c>
      <c r="I12" s="263">
        <f>SUM(I7:I11)</f>
        <v>61500000</v>
      </c>
      <c r="J12" s="10"/>
      <c r="K12" s="10"/>
      <c r="L12" s="263">
        <f>SUM(L7:L11)</f>
        <v>56500000</v>
      </c>
      <c r="M12" s="10"/>
      <c r="N12" s="263">
        <f>SUM(N7:N11)</f>
        <v>0</v>
      </c>
      <c r="O12" s="263">
        <f>SUM(O7:O11)</f>
        <v>5000000</v>
      </c>
    </row>
    <row r="13" spans="1:22" s="1" customFormat="1">
      <c r="A13" s="5"/>
      <c r="B13" s="5"/>
      <c r="C13" s="5"/>
      <c r="D13" s="88"/>
      <c r="F13" s="13"/>
      <c r="H13" s="76"/>
      <c r="J13" s="11"/>
      <c r="K13" s="11"/>
      <c r="L13" s="9"/>
      <c r="M13" s="6"/>
      <c r="Q13" s="13"/>
    </row>
    <row r="14" spans="1:22" s="1" customFormat="1">
      <c r="A14" s="5"/>
      <c r="B14" s="5"/>
      <c r="C14" s="5"/>
      <c r="E14" s="5"/>
      <c r="F14" s="13" t="s">
        <v>43</v>
      </c>
      <c r="G14" s="5"/>
      <c r="H14" s="34">
        <f>H12-I12</f>
        <v>0</v>
      </c>
      <c r="I14" s="9"/>
      <c r="K14" s="3"/>
      <c r="L14" s="9"/>
      <c r="M14" s="3"/>
      <c r="Q14" s="13"/>
    </row>
    <row r="15" spans="1:22" s="1" customFormat="1">
      <c r="A15" s="5"/>
      <c r="B15" s="5"/>
      <c r="C15" s="5"/>
      <c r="E15" s="5"/>
      <c r="G15" s="5"/>
      <c r="H15" s="67"/>
      <c r="I15" s="9"/>
      <c r="J15" s="3"/>
      <c r="K15" s="138"/>
      <c r="L15" s="9"/>
      <c r="M15" s="3"/>
      <c r="N15" s="76"/>
      <c r="Q15" s="13"/>
    </row>
    <row r="16" spans="1:22" s="1" customFormat="1">
      <c r="A16" s="5"/>
      <c r="B16" s="5"/>
      <c r="C16" s="5"/>
      <c r="E16" s="133"/>
      <c r="F16" s="58" t="s">
        <v>10</v>
      </c>
      <c r="G16" s="5"/>
      <c r="H16" s="77">
        <f>E1-I12+O12+G27</f>
        <v>213559922</v>
      </c>
      <c r="I16" s="292"/>
      <c r="J16" s="138"/>
      <c r="L16" s="3"/>
      <c r="M16" s="138"/>
      <c r="N16" s="350"/>
      <c r="O16" s="2"/>
      <c r="Q16" s="13"/>
    </row>
    <row r="17" spans="3:15">
      <c r="I17" s="303"/>
      <c r="L17" s="399"/>
      <c r="M17" s="11"/>
      <c r="N17" s="350"/>
      <c r="O17" s="2"/>
    </row>
    <row r="18" spans="3:15">
      <c r="H18" s="34"/>
      <c r="I18" s="128"/>
      <c r="J18" s="11"/>
      <c r="K18" s="60"/>
      <c r="L18" s="201"/>
      <c r="M18" s="398"/>
      <c r="N18" s="415"/>
      <c r="O18" s="399"/>
    </row>
    <row r="19" spans="3:15">
      <c r="F19" s="58"/>
      <c r="G19" s="262"/>
      <c r="I19" s="44"/>
      <c r="J19" s="49"/>
      <c r="K19" s="60"/>
      <c r="L19" s="11"/>
      <c r="M19" s="12"/>
      <c r="N19" s="405"/>
      <c r="O19" s="13"/>
    </row>
    <row r="20" spans="3:15">
      <c r="G20" s="10"/>
      <c r="H20" s="288"/>
      <c r="I20" s="164"/>
      <c r="M20" s="49"/>
      <c r="N20" s="398"/>
    </row>
    <row r="21" spans="3:15">
      <c r="G21" s="10"/>
      <c r="H21" s="288"/>
      <c r="I21" s="164"/>
      <c r="J21" s="12"/>
      <c r="L21" s="451"/>
      <c r="M21" s="49"/>
    </row>
    <row r="22" spans="3:15">
      <c r="G22" s="10"/>
      <c r="H22" s="288"/>
      <c r="I22" s="164"/>
      <c r="M22" s="49"/>
    </row>
    <row r="23" spans="3:15">
      <c r="C23" s="13">
        <v>5204</v>
      </c>
      <c r="D23" s="13" t="s">
        <v>77</v>
      </c>
      <c r="E23" s="13" t="s">
        <v>76</v>
      </c>
      <c r="F23" s="13" t="s">
        <v>94</v>
      </c>
      <c r="G23" s="10">
        <f>6000000+2050000</f>
        <v>8050000</v>
      </c>
      <c r="H23" s="288" t="s">
        <v>746</v>
      </c>
      <c r="I23" s="164"/>
      <c r="M23" s="49"/>
    </row>
    <row r="24" spans="3:15">
      <c r="C24" s="13">
        <v>5244</v>
      </c>
      <c r="D24" s="13" t="s">
        <v>77</v>
      </c>
      <c r="E24" s="13" t="s">
        <v>76</v>
      </c>
      <c r="F24" s="36" t="s">
        <v>94</v>
      </c>
      <c r="G24" s="10">
        <v>27500000</v>
      </c>
      <c r="H24" s="288" t="s">
        <v>745</v>
      </c>
      <c r="I24" s="164"/>
      <c r="M24" s="49"/>
    </row>
    <row r="25" spans="3:15">
      <c r="C25" s="13">
        <v>5245</v>
      </c>
      <c r="D25" s="13" t="s">
        <v>77</v>
      </c>
      <c r="E25" s="13" t="s">
        <v>76</v>
      </c>
      <c r="F25" s="36" t="s">
        <v>94</v>
      </c>
      <c r="G25" s="10">
        <v>950000</v>
      </c>
      <c r="H25" s="288" t="s">
        <v>747</v>
      </c>
      <c r="I25" s="164"/>
      <c r="M25" s="49"/>
    </row>
    <row r="26" spans="3:15">
      <c r="C26" s="13">
        <v>5246</v>
      </c>
      <c r="D26" s="13" t="s">
        <v>77</v>
      </c>
      <c r="E26" s="13" t="s">
        <v>76</v>
      </c>
      <c r="F26" s="36" t="s">
        <v>94</v>
      </c>
      <c r="G26" s="536">
        <v>20000000</v>
      </c>
      <c r="H26" s="288" t="s">
        <v>754</v>
      </c>
      <c r="I26" s="164"/>
      <c r="M26" s="49"/>
    </row>
    <row r="27" spans="3:15">
      <c r="G27" s="295">
        <f>SUM(G23:G26)</f>
        <v>56500000</v>
      </c>
      <c r="J27" s="11"/>
    </row>
    <row r="28" spans="3:15">
      <c r="J28" s="11"/>
    </row>
    <row r="29" spans="3:15">
      <c r="J29" s="11"/>
    </row>
    <row r="30" spans="3:15">
      <c r="G30" s="10"/>
    </row>
    <row r="32" spans="3:15">
      <c r="F32" s="36"/>
    </row>
    <row r="33" spans="6:10">
      <c r="F33" s="36"/>
      <c r="H33" s="13"/>
      <c r="J33" s="11"/>
    </row>
    <row r="34" spans="6:10">
      <c r="J34" s="11"/>
    </row>
  </sheetData>
  <phoneticPr fontId="0" type="noConversion"/>
  <pageMargins left="0.75" right="0.75" top="1" bottom="1" header="0.5" footer="0.5"/>
  <pageSetup scale="80" fitToHeight="2" orientation="landscape" horizontalDpi="4294967292" verticalDpi="4294967292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5">
    <tabColor theme="0" tint="-0.249977111117893"/>
  </sheetPr>
  <dimension ref="A1:V70"/>
  <sheetViews>
    <sheetView topLeftCell="A19" zoomScaleNormal="100" workbookViewId="0">
      <selection activeCell="H58" sqref="H58"/>
    </sheetView>
  </sheetViews>
  <sheetFormatPr defaultColWidth="9.125" defaultRowHeight="12"/>
  <cols>
    <col min="1" max="1" width="9" style="1" customWidth="1"/>
    <col min="2" max="2" width="6.625" style="1" bestFit="1" customWidth="1"/>
    <col min="3" max="3" width="10.125" style="1" customWidth="1"/>
    <col min="4" max="4" width="13.25" style="1" bestFit="1" customWidth="1"/>
    <col min="5" max="5" width="27.625" style="1" bestFit="1" customWidth="1"/>
    <col min="6" max="6" width="51.75" style="1" bestFit="1" customWidth="1"/>
    <col min="7" max="7" width="14.375" style="1" customWidth="1"/>
    <col min="8" max="8" width="16" style="1" customWidth="1"/>
    <col min="9" max="9" width="12.75" style="1" bestFit="1" customWidth="1"/>
    <col min="10" max="10" width="14" style="1" customWidth="1"/>
    <col min="11" max="11" width="10.875" style="1" customWidth="1"/>
    <col min="12" max="12" width="12.875" style="1" customWidth="1"/>
    <col min="13" max="13" width="10.375" style="1" customWidth="1"/>
    <col min="14" max="14" width="14" style="1" customWidth="1"/>
    <col min="15" max="15" width="14" style="140" bestFit="1" customWidth="1"/>
    <col min="16" max="16" width="9.875" style="1" customWidth="1"/>
    <col min="17" max="17" width="9.125" style="1" bestFit="1" customWidth="1"/>
    <col min="18" max="18" width="43.125" style="1" bestFit="1" customWidth="1"/>
    <col min="19" max="19" width="20" style="1" bestFit="1" customWidth="1"/>
    <col min="20" max="16384" width="9.125" style="1"/>
  </cols>
  <sheetData>
    <row r="1" spans="1:22" s="17" customFormat="1" ht="11.4">
      <c r="A1" s="16" t="s">
        <v>12</v>
      </c>
      <c r="B1" s="291"/>
      <c r="C1" s="291"/>
      <c r="E1" s="382">
        <f>'REGION 1'!H14+'REGION 2'!H13+'REGION 3'!H32+'REGION 4'!H13+'REGION 5'!H14+'REGION 6'!H29+'REGION 7'!H30+'REGION 8'!H13+'REGION 9'!H15+'REGION 10'!H13+'REGION 11'!H14+'REGION 12'!H13+'REGION 13'!H14</f>
        <v>463959725</v>
      </c>
      <c r="F1" s="18"/>
      <c r="G1" s="18"/>
      <c r="H1" s="332"/>
      <c r="I1" s="333"/>
      <c r="J1" s="284"/>
      <c r="K1" s="284"/>
      <c r="L1" s="333"/>
      <c r="M1" s="284"/>
      <c r="N1" s="332"/>
      <c r="O1" s="332"/>
      <c r="P1" s="284"/>
      <c r="R1" s="285"/>
      <c r="S1" s="5"/>
      <c r="T1" s="5"/>
      <c r="U1" s="5"/>
      <c r="V1" s="5"/>
    </row>
    <row r="2" spans="1:22" s="5" customFormat="1" ht="11.4">
      <c r="A2" s="25" t="s">
        <v>160</v>
      </c>
      <c r="B2" s="48"/>
      <c r="C2" s="48"/>
      <c r="E2" s="26"/>
      <c r="F2" s="26"/>
      <c r="G2" s="26"/>
      <c r="H2" s="46"/>
      <c r="I2" s="47"/>
      <c r="J2" s="6"/>
      <c r="K2" s="6"/>
      <c r="L2" s="47"/>
      <c r="M2" s="6"/>
      <c r="N2" s="46"/>
      <c r="O2" s="46"/>
      <c r="P2" s="6"/>
      <c r="R2" s="286"/>
    </row>
    <row r="3" spans="1:22">
      <c r="A3" s="31"/>
      <c r="B3" s="5"/>
      <c r="C3" s="5"/>
      <c r="D3" s="5"/>
      <c r="E3" s="5"/>
      <c r="F3" s="5"/>
      <c r="G3" s="5"/>
      <c r="H3" s="46"/>
      <c r="I3" s="126"/>
      <c r="J3" s="6"/>
      <c r="K3" s="6"/>
      <c r="L3" s="211"/>
      <c r="M3" s="6"/>
      <c r="N3" s="54"/>
      <c r="O3" s="54"/>
      <c r="P3" s="6"/>
      <c r="R3" s="287"/>
    </row>
    <row r="4" spans="1:22" s="5" customFormat="1">
      <c r="A4" s="31" t="s">
        <v>206</v>
      </c>
      <c r="B4" s="5" t="s">
        <v>208</v>
      </c>
      <c r="C4" s="5" t="s">
        <v>32</v>
      </c>
      <c r="D4" s="5" t="s">
        <v>37</v>
      </c>
      <c r="E4" s="5" t="s">
        <v>31</v>
      </c>
      <c r="F4" s="26" t="s">
        <v>49</v>
      </c>
      <c r="G4" s="26" t="s">
        <v>45</v>
      </c>
      <c r="H4" s="84" t="s">
        <v>23</v>
      </c>
      <c r="I4" s="32" t="s">
        <v>8</v>
      </c>
      <c r="J4" s="6" t="s">
        <v>14</v>
      </c>
      <c r="K4" s="6" t="s">
        <v>34</v>
      </c>
      <c r="L4" s="32" t="s">
        <v>4</v>
      </c>
      <c r="M4" s="6" t="s">
        <v>157</v>
      </c>
      <c r="N4" s="32" t="s">
        <v>27</v>
      </c>
      <c r="O4" s="32" t="s">
        <v>44</v>
      </c>
      <c r="P4" s="6" t="s">
        <v>22</v>
      </c>
      <c r="Q4" s="5" t="s">
        <v>172</v>
      </c>
      <c r="R4" s="30" t="s">
        <v>286</v>
      </c>
      <c r="S4" s="13"/>
      <c r="T4" s="13"/>
      <c r="U4" s="13"/>
      <c r="V4" s="13"/>
    </row>
    <row r="5" spans="1:22" s="5" customFormat="1">
      <c r="A5" s="31" t="s">
        <v>207</v>
      </c>
      <c r="B5" s="5" t="s">
        <v>207</v>
      </c>
      <c r="C5" s="5" t="s">
        <v>48</v>
      </c>
      <c r="D5" s="13"/>
      <c r="F5" s="26"/>
      <c r="G5" s="26"/>
      <c r="H5" s="84" t="s">
        <v>42</v>
      </c>
      <c r="I5" s="32" t="s">
        <v>42</v>
      </c>
      <c r="J5" s="6" t="s">
        <v>9</v>
      </c>
      <c r="K5" s="6" t="s">
        <v>18</v>
      </c>
      <c r="L5" s="32" t="s">
        <v>42</v>
      </c>
      <c r="M5" s="6" t="s">
        <v>18</v>
      </c>
      <c r="N5" s="32" t="s">
        <v>42</v>
      </c>
      <c r="O5" s="32" t="s">
        <v>42</v>
      </c>
      <c r="P5" s="6" t="s">
        <v>5</v>
      </c>
      <c r="Q5" s="5" t="s">
        <v>171</v>
      </c>
      <c r="R5" s="30" t="s">
        <v>287</v>
      </c>
      <c r="S5" s="13"/>
      <c r="T5" s="13"/>
      <c r="U5" s="13"/>
      <c r="V5" s="13"/>
    </row>
    <row r="6" spans="1:22" s="5" customFormat="1" ht="12.6" thickBot="1">
      <c r="A6" s="37"/>
      <c r="B6" s="33"/>
      <c r="C6" s="33" t="s">
        <v>173</v>
      </c>
      <c r="D6" s="38"/>
      <c r="E6" s="33"/>
      <c r="F6" s="39"/>
      <c r="G6" s="39"/>
      <c r="H6" s="130"/>
      <c r="I6" s="55"/>
      <c r="J6" s="40"/>
      <c r="K6" s="40"/>
      <c r="L6" s="55"/>
      <c r="M6" s="40"/>
      <c r="N6" s="55"/>
      <c r="O6" s="55"/>
      <c r="P6" s="40"/>
      <c r="Q6" s="38"/>
      <c r="R6" s="386" t="s">
        <v>9</v>
      </c>
      <c r="S6" s="13"/>
      <c r="T6" s="13"/>
      <c r="U6" s="13"/>
      <c r="V6" s="13"/>
    </row>
    <row r="7" spans="1:22" s="13" customFormat="1">
      <c r="A7" s="13">
        <v>22</v>
      </c>
      <c r="B7" s="13">
        <v>40</v>
      </c>
      <c r="C7" s="13">
        <v>5331</v>
      </c>
      <c r="D7" s="13" t="s">
        <v>390</v>
      </c>
      <c r="E7" s="13" t="s">
        <v>212</v>
      </c>
      <c r="F7" s="36" t="s">
        <v>329</v>
      </c>
      <c r="G7" s="36" t="s">
        <v>213</v>
      </c>
      <c r="H7" s="289">
        <v>25000000</v>
      </c>
      <c r="I7" s="289">
        <f>H7</f>
        <v>25000000</v>
      </c>
      <c r="J7" s="11">
        <v>44261</v>
      </c>
      <c r="K7" s="11">
        <f>J7+35</f>
        <v>44296</v>
      </c>
      <c r="L7" s="350">
        <v>0</v>
      </c>
      <c r="M7" s="11">
        <f>J7+180</f>
        <v>44441</v>
      </c>
      <c r="N7" s="350">
        <v>0</v>
      </c>
      <c r="O7" s="314">
        <f>I7-L7</f>
        <v>25000000</v>
      </c>
      <c r="P7" s="11">
        <v>44285</v>
      </c>
      <c r="Q7" s="13" t="s">
        <v>209</v>
      </c>
      <c r="R7" s="445" t="s">
        <v>694</v>
      </c>
    </row>
    <row r="8" spans="1:22" s="5" customFormat="1" ht="11.4">
      <c r="A8" s="5">
        <v>26</v>
      </c>
      <c r="B8" s="5">
        <v>48</v>
      </c>
      <c r="C8" s="5">
        <v>5332</v>
      </c>
      <c r="D8" s="5" t="s">
        <v>625</v>
      </c>
      <c r="E8" s="5" t="s">
        <v>265</v>
      </c>
      <c r="F8" s="26" t="s">
        <v>454</v>
      </c>
      <c r="G8" s="26" t="s">
        <v>211</v>
      </c>
      <c r="H8" s="349">
        <v>25000000</v>
      </c>
      <c r="I8" s="349">
        <f t="shared" ref="I8:I10" si="0">H8</f>
        <v>25000000</v>
      </c>
      <c r="J8" s="6">
        <v>44261</v>
      </c>
      <c r="K8" s="6">
        <f t="shared" ref="K8:K11" si="1">J8+35</f>
        <v>44296</v>
      </c>
      <c r="L8" s="349">
        <v>25000000</v>
      </c>
      <c r="M8" s="6">
        <f t="shared" ref="M8:M9" si="2">J8+180</f>
        <v>44441</v>
      </c>
      <c r="N8" s="428"/>
      <c r="O8" s="524"/>
      <c r="P8" s="6"/>
      <c r="Q8" s="5" t="s">
        <v>264</v>
      </c>
      <c r="R8" s="489" t="s">
        <v>698</v>
      </c>
    </row>
    <row r="9" spans="1:22" s="13" customFormat="1">
      <c r="A9" s="13">
        <v>35</v>
      </c>
      <c r="B9" s="13">
        <v>57</v>
      </c>
      <c r="C9" s="13">
        <v>5333</v>
      </c>
      <c r="D9" s="13" t="s">
        <v>390</v>
      </c>
      <c r="E9" s="13" t="s">
        <v>141</v>
      </c>
      <c r="F9" s="36" t="s">
        <v>340</v>
      </c>
      <c r="G9" s="36" t="s">
        <v>341</v>
      </c>
      <c r="H9" s="425">
        <v>69152737</v>
      </c>
      <c r="I9" s="289">
        <f t="shared" si="0"/>
        <v>69152737</v>
      </c>
      <c r="J9" s="11">
        <v>44261</v>
      </c>
      <c r="K9" s="11">
        <f t="shared" si="1"/>
        <v>44296</v>
      </c>
      <c r="L9" s="289">
        <f>I9</f>
        <v>69152737</v>
      </c>
      <c r="M9" s="11">
        <f t="shared" si="2"/>
        <v>44441</v>
      </c>
      <c r="N9" s="289">
        <v>0</v>
      </c>
      <c r="O9" s="289">
        <f>L9-N9</f>
        <v>69152737</v>
      </c>
      <c r="P9" s="11">
        <v>44366</v>
      </c>
      <c r="Q9" s="13" t="s">
        <v>264</v>
      </c>
      <c r="R9" s="445" t="s">
        <v>698</v>
      </c>
      <c r="S9" s="472" t="s">
        <v>700</v>
      </c>
    </row>
    <row r="10" spans="1:22" s="13" customFormat="1">
      <c r="A10" s="13">
        <v>37</v>
      </c>
      <c r="B10" s="13">
        <v>8</v>
      </c>
      <c r="C10" s="13">
        <v>5334</v>
      </c>
      <c r="D10" s="13" t="s">
        <v>390</v>
      </c>
      <c r="E10" s="13" t="s">
        <v>487</v>
      </c>
      <c r="F10" s="36" t="s">
        <v>490</v>
      </c>
      <c r="G10" s="36" t="s">
        <v>489</v>
      </c>
      <c r="H10" s="289">
        <v>18000000</v>
      </c>
      <c r="I10" s="289">
        <f t="shared" si="0"/>
        <v>18000000</v>
      </c>
      <c r="J10" s="11">
        <v>44261</v>
      </c>
      <c r="K10" s="11">
        <f t="shared" si="1"/>
        <v>44296</v>
      </c>
      <c r="L10" s="289">
        <v>18000000</v>
      </c>
      <c r="M10" s="11">
        <f>J10+180</f>
        <v>44441</v>
      </c>
      <c r="N10" s="289">
        <v>0</v>
      </c>
      <c r="O10" s="289">
        <f>L10-N10</f>
        <v>18000000</v>
      </c>
      <c r="P10" s="11">
        <v>44370</v>
      </c>
      <c r="Q10" s="13" t="s">
        <v>241</v>
      </c>
      <c r="R10" s="445" t="s">
        <v>698</v>
      </c>
    </row>
    <row r="11" spans="1:22" s="13" customFormat="1">
      <c r="A11" s="13">
        <v>50</v>
      </c>
      <c r="B11" s="13">
        <v>73</v>
      </c>
      <c r="C11" s="13">
        <v>5335</v>
      </c>
      <c r="D11" s="13" t="s">
        <v>390</v>
      </c>
      <c r="E11" s="13" t="s">
        <v>141</v>
      </c>
      <c r="F11" s="36" t="s">
        <v>406</v>
      </c>
      <c r="G11" s="36" t="s">
        <v>275</v>
      </c>
      <c r="H11" s="425">
        <v>50000000</v>
      </c>
      <c r="I11" s="289">
        <f>H11</f>
        <v>50000000</v>
      </c>
      <c r="J11" s="11">
        <v>44264</v>
      </c>
      <c r="K11" s="11">
        <f t="shared" si="1"/>
        <v>44299</v>
      </c>
      <c r="L11" s="289">
        <v>50000000</v>
      </c>
      <c r="M11" s="11">
        <f>J11+180</f>
        <v>44444</v>
      </c>
      <c r="N11" s="289">
        <v>0</v>
      </c>
      <c r="O11" s="289">
        <f>L11-N11</f>
        <v>50000000</v>
      </c>
      <c r="P11" s="11">
        <v>44359</v>
      </c>
      <c r="Q11" s="13" t="s">
        <v>264</v>
      </c>
      <c r="R11" s="445" t="s">
        <v>701</v>
      </c>
    </row>
    <row r="12" spans="1:22" s="13" customFormat="1">
      <c r="A12" s="13">
        <v>53</v>
      </c>
      <c r="B12" s="13">
        <v>76</v>
      </c>
      <c r="C12" s="13" t="s">
        <v>499</v>
      </c>
      <c r="D12" s="13" t="s">
        <v>390</v>
      </c>
      <c r="E12" s="13" t="s">
        <v>268</v>
      </c>
      <c r="F12" s="36" t="s">
        <v>418</v>
      </c>
      <c r="G12" s="36" t="s">
        <v>419</v>
      </c>
      <c r="H12" s="289">
        <v>0</v>
      </c>
      <c r="I12" s="289"/>
      <c r="J12" s="11"/>
      <c r="K12" s="11"/>
      <c r="L12" s="350"/>
      <c r="M12" s="11"/>
      <c r="N12" s="289"/>
      <c r="O12" s="289"/>
      <c r="P12" s="11"/>
      <c r="Q12" s="13" t="s">
        <v>264</v>
      </c>
      <c r="R12" s="93" t="s">
        <v>696</v>
      </c>
    </row>
    <row r="13" spans="1:22" s="5" customFormat="1" ht="11.4">
      <c r="A13" s="5">
        <v>58</v>
      </c>
      <c r="B13" s="5">
        <v>34</v>
      </c>
      <c r="C13" s="5">
        <v>5336</v>
      </c>
      <c r="D13" s="5" t="s">
        <v>625</v>
      </c>
      <c r="E13" s="5" t="s">
        <v>394</v>
      </c>
      <c r="F13" s="26" t="s">
        <v>395</v>
      </c>
      <c r="G13" s="26" t="s">
        <v>148</v>
      </c>
      <c r="H13" s="349">
        <v>15000000</v>
      </c>
      <c r="I13" s="349">
        <v>15000000</v>
      </c>
      <c r="J13" s="6">
        <v>44264</v>
      </c>
      <c r="K13" s="6">
        <f>J13+35</f>
        <v>44299</v>
      </c>
      <c r="L13" s="349">
        <v>15000000</v>
      </c>
      <c r="M13" s="6">
        <f>J13+180</f>
        <v>44444</v>
      </c>
      <c r="N13" s="349"/>
      <c r="O13" s="349"/>
      <c r="P13" s="6"/>
      <c r="Q13" s="5" t="s">
        <v>241</v>
      </c>
      <c r="R13" s="489" t="s">
        <v>697</v>
      </c>
    </row>
    <row r="14" spans="1:22" s="13" customFormat="1">
      <c r="A14" s="13">
        <v>61</v>
      </c>
      <c r="B14" s="13">
        <v>82</v>
      </c>
      <c r="C14" s="13" t="s">
        <v>461</v>
      </c>
      <c r="D14" s="13" t="s">
        <v>390</v>
      </c>
      <c r="E14" s="13" t="s">
        <v>266</v>
      </c>
      <c r="F14" s="36" t="s">
        <v>474</v>
      </c>
      <c r="G14" s="36" t="s">
        <v>78</v>
      </c>
      <c r="H14" s="425">
        <v>0</v>
      </c>
      <c r="I14" s="289"/>
      <c r="J14" s="11"/>
      <c r="K14" s="11"/>
      <c r="L14" s="289"/>
      <c r="M14" s="11"/>
      <c r="N14" s="289"/>
      <c r="O14" s="289"/>
      <c r="P14" s="11"/>
      <c r="Q14" s="13" t="s">
        <v>264</v>
      </c>
      <c r="R14" s="93" t="s">
        <v>702</v>
      </c>
    </row>
    <row r="15" spans="1:22" s="13" customFormat="1">
      <c r="A15" s="13">
        <v>65</v>
      </c>
      <c r="B15" s="13">
        <v>85</v>
      </c>
      <c r="C15" s="13" t="s">
        <v>520</v>
      </c>
      <c r="D15" s="13" t="s">
        <v>390</v>
      </c>
      <c r="E15" s="13" t="s">
        <v>221</v>
      </c>
      <c r="F15" s="36" t="s">
        <v>400</v>
      </c>
      <c r="G15" s="36" t="s">
        <v>79</v>
      </c>
      <c r="H15" s="425">
        <v>0</v>
      </c>
      <c r="I15" s="289"/>
      <c r="J15" s="11"/>
      <c r="K15" s="11"/>
      <c r="L15" s="289"/>
      <c r="M15" s="11"/>
      <c r="N15" s="289"/>
      <c r="O15" s="289"/>
      <c r="P15" s="11"/>
      <c r="Q15" s="13" t="s">
        <v>264</v>
      </c>
      <c r="R15" s="93" t="s">
        <v>695</v>
      </c>
    </row>
    <row r="16" spans="1:22" s="13" customFormat="1">
      <c r="A16" s="13">
        <v>69</v>
      </c>
      <c r="B16" s="13">
        <v>91</v>
      </c>
      <c r="C16" s="13" t="s">
        <v>500</v>
      </c>
      <c r="D16" s="13" t="s">
        <v>705</v>
      </c>
      <c r="E16" s="13" t="s">
        <v>269</v>
      </c>
      <c r="F16" s="36" t="s">
        <v>506</v>
      </c>
      <c r="G16" s="36" t="s">
        <v>80</v>
      </c>
      <c r="H16" s="425">
        <v>0</v>
      </c>
      <c r="I16" s="289"/>
      <c r="J16" s="11"/>
      <c r="K16" s="11"/>
      <c r="L16" s="289"/>
      <c r="M16" s="11"/>
      <c r="N16" s="289"/>
      <c r="O16" s="289"/>
      <c r="P16" s="11"/>
      <c r="Q16" s="13" t="s">
        <v>264</v>
      </c>
      <c r="R16" s="43" t="s">
        <v>703</v>
      </c>
    </row>
    <row r="17" spans="1:19" s="13" customFormat="1">
      <c r="A17" s="13">
        <v>70</v>
      </c>
      <c r="B17" s="13">
        <v>92</v>
      </c>
      <c r="C17" s="13" t="s">
        <v>521</v>
      </c>
      <c r="D17" s="13" t="s">
        <v>390</v>
      </c>
      <c r="E17" s="13" t="s">
        <v>141</v>
      </c>
      <c r="F17" s="36" t="s">
        <v>528</v>
      </c>
      <c r="G17" s="36" t="s">
        <v>271</v>
      </c>
      <c r="H17" s="425">
        <v>0</v>
      </c>
      <c r="I17" s="289"/>
      <c r="J17" s="11"/>
      <c r="K17" s="11"/>
      <c r="L17" s="289"/>
      <c r="M17" s="11"/>
      <c r="N17" s="289"/>
      <c r="O17" s="289"/>
      <c r="P17" s="11"/>
      <c r="Q17" s="13" t="s">
        <v>264</v>
      </c>
      <c r="R17" s="93" t="s">
        <v>704</v>
      </c>
    </row>
    <row r="18" spans="1:19" s="13" customFormat="1">
      <c r="A18" s="13">
        <v>72</v>
      </c>
      <c r="B18" s="13">
        <v>93</v>
      </c>
      <c r="C18" s="13" t="s">
        <v>462</v>
      </c>
      <c r="D18" s="13" t="s">
        <v>390</v>
      </c>
      <c r="E18" s="13" t="s">
        <v>266</v>
      </c>
      <c r="F18" s="36" t="s">
        <v>475</v>
      </c>
      <c r="G18" s="36" t="s">
        <v>78</v>
      </c>
      <c r="H18" s="425">
        <v>0</v>
      </c>
      <c r="I18" s="289"/>
      <c r="J18" s="11"/>
      <c r="K18" s="11"/>
      <c r="L18" s="289"/>
      <c r="M18" s="11"/>
      <c r="N18" s="289"/>
      <c r="O18" s="289"/>
      <c r="P18" s="11"/>
      <c r="Q18" s="13" t="s">
        <v>264</v>
      </c>
      <c r="R18" s="93" t="s">
        <v>706</v>
      </c>
    </row>
    <row r="19" spans="1:19" s="13" customFormat="1">
      <c r="A19" s="13">
        <v>77</v>
      </c>
      <c r="B19" s="13">
        <v>97</v>
      </c>
      <c r="C19" s="13" t="s">
        <v>501</v>
      </c>
      <c r="D19" s="13" t="s">
        <v>390</v>
      </c>
      <c r="E19" s="13" t="s">
        <v>268</v>
      </c>
      <c r="F19" s="36" t="s">
        <v>424</v>
      </c>
      <c r="G19" s="36" t="s">
        <v>388</v>
      </c>
      <c r="H19" s="425">
        <v>0</v>
      </c>
      <c r="I19" s="289"/>
      <c r="J19" s="11"/>
      <c r="K19" s="11"/>
      <c r="L19" s="289"/>
      <c r="M19" s="11"/>
      <c r="N19" s="289"/>
      <c r="O19" s="289"/>
      <c r="P19" s="11"/>
      <c r="Q19" s="13" t="s">
        <v>264</v>
      </c>
      <c r="R19" s="93" t="s">
        <v>706</v>
      </c>
      <c r="S19" s="472"/>
    </row>
    <row r="20" spans="1:19" s="13" customFormat="1">
      <c r="A20" s="13">
        <v>78</v>
      </c>
      <c r="B20" s="13">
        <v>98</v>
      </c>
      <c r="C20" s="13">
        <v>5340</v>
      </c>
      <c r="D20" s="13" t="s">
        <v>390</v>
      </c>
      <c r="E20" s="13" t="s">
        <v>269</v>
      </c>
      <c r="F20" s="36" t="s">
        <v>507</v>
      </c>
      <c r="G20" s="36" t="s">
        <v>80</v>
      </c>
      <c r="H20" s="289">
        <v>20000000</v>
      </c>
      <c r="I20" s="289">
        <f>H20</f>
        <v>20000000</v>
      </c>
      <c r="J20" s="11">
        <v>44275</v>
      </c>
      <c r="K20" s="11">
        <f>J20+35</f>
        <v>44310</v>
      </c>
      <c r="L20" s="350">
        <v>0</v>
      </c>
      <c r="M20" s="11">
        <f>J20+180</f>
        <v>44455</v>
      </c>
      <c r="N20" s="289">
        <v>0</v>
      </c>
      <c r="O20" s="289">
        <f>I20-N20</f>
        <v>20000000</v>
      </c>
      <c r="P20" s="11">
        <v>44310</v>
      </c>
      <c r="Q20" s="13" t="s">
        <v>264</v>
      </c>
      <c r="R20" s="445" t="s">
        <v>707</v>
      </c>
      <c r="S20" s="472" t="s">
        <v>670</v>
      </c>
    </row>
    <row r="21" spans="1:19" s="13" customFormat="1">
      <c r="A21" s="13">
        <v>80</v>
      </c>
      <c r="B21" s="13">
        <v>100</v>
      </c>
      <c r="C21" s="13" t="s">
        <v>503</v>
      </c>
      <c r="D21" s="13" t="s">
        <v>390</v>
      </c>
      <c r="E21" s="13" t="s">
        <v>218</v>
      </c>
      <c r="F21" s="36" t="s">
        <v>508</v>
      </c>
      <c r="G21" s="36" t="s">
        <v>80</v>
      </c>
      <c r="H21" s="289">
        <v>0</v>
      </c>
      <c r="I21" s="289"/>
      <c r="J21" s="11"/>
      <c r="K21" s="11"/>
      <c r="L21" s="289"/>
      <c r="M21" s="11"/>
      <c r="N21" s="289"/>
      <c r="O21" s="289"/>
      <c r="P21" s="11"/>
      <c r="Q21" s="13" t="s">
        <v>264</v>
      </c>
      <c r="R21" s="43" t="s">
        <v>715</v>
      </c>
    </row>
    <row r="22" spans="1:19" s="13" customFormat="1">
      <c r="A22" s="13">
        <v>82</v>
      </c>
      <c r="B22" s="13">
        <v>102</v>
      </c>
      <c r="C22" s="13" t="s">
        <v>463</v>
      </c>
      <c r="D22" s="13" t="s">
        <v>390</v>
      </c>
      <c r="E22" s="13" t="s">
        <v>266</v>
      </c>
      <c r="F22" s="36" t="s">
        <v>476</v>
      </c>
      <c r="G22" s="36" t="s">
        <v>78</v>
      </c>
      <c r="H22" s="289">
        <v>0</v>
      </c>
      <c r="I22" s="289"/>
      <c r="J22" s="11"/>
      <c r="K22" s="11"/>
      <c r="L22" s="289"/>
      <c r="M22" s="11"/>
      <c r="N22" s="289"/>
      <c r="O22" s="289"/>
      <c r="P22" s="11"/>
      <c r="Q22" s="13" t="s">
        <v>264</v>
      </c>
      <c r="R22" s="93" t="s">
        <v>717</v>
      </c>
    </row>
    <row r="23" spans="1:19" s="5" customFormat="1" ht="11.4">
      <c r="A23" s="5">
        <v>83</v>
      </c>
      <c r="B23" s="5">
        <v>104</v>
      </c>
      <c r="C23" s="5">
        <v>5341</v>
      </c>
      <c r="D23" s="5" t="s">
        <v>625</v>
      </c>
      <c r="E23" s="5" t="s">
        <v>218</v>
      </c>
      <c r="F23" s="26" t="s">
        <v>512</v>
      </c>
      <c r="G23" s="26" t="s">
        <v>80</v>
      </c>
      <c r="H23" s="349">
        <v>27000000</v>
      </c>
      <c r="I23" s="349">
        <f>H23</f>
        <v>27000000</v>
      </c>
      <c r="J23" s="6">
        <v>44286</v>
      </c>
      <c r="K23" s="6">
        <f>J23+35</f>
        <v>44321</v>
      </c>
      <c r="L23" s="349">
        <v>27000000</v>
      </c>
      <c r="M23" s="6">
        <f>J23+180</f>
        <v>44466</v>
      </c>
      <c r="N23" s="349"/>
      <c r="O23" s="349"/>
      <c r="P23" s="6"/>
      <c r="Q23" s="5" t="s">
        <v>272</v>
      </c>
      <c r="R23" s="142"/>
    </row>
    <row r="24" spans="1:19" s="13" customFormat="1">
      <c r="A24" s="13">
        <v>90</v>
      </c>
      <c r="B24" s="13">
        <v>106</v>
      </c>
      <c r="C24" s="13" t="s">
        <v>523</v>
      </c>
      <c r="D24" s="13" t="s">
        <v>390</v>
      </c>
      <c r="E24" s="13" t="s">
        <v>141</v>
      </c>
      <c r="F24" s="36" t="s">
        <v>342</v>
      </c>
      <c r="G24" s="36" t="s">
        <v>343</v>
      </c>
      <c r="H24" s="425">
        <v>0</v>
      </c>
      <c r="I24" s="289"/>
      <c r="J24" s="11"/>
      <c r="K24" s="11"/>
      <c r="L24" s="289"/>
      <c r="M24" s="11"/>
      <c r="N24" s="289"/>
      <c r="O24" s="289"/>
      <c r="P24" s="11"/>
      <c r="Q24" s="13" t="s">
        <v>272</v>
      </c>
      <c r="R24" s="11"/>
    </row>
    <row r="25" spans="1:19" s="5" customFormat="1" ht="11.4">
      <c r="A25" s="5">
        <v>91</v>
      </c>
      <c r="B25" s="5">
        <v>107</v>
      </c>
      <c r="C25" s="5">
        <v>5342</v>
      </c>
      <c r="D25" s="5" t="s">
        <v>625</v>
      </c>
      <c r="E25" s="5" t="s">
        <v>266</v>
      </c>
      <c r="F25" s="26" t="s">
        <v>480</v>
      </c>
      <c r="G25" s="26" t="s">
        <v>78</v>
      </c>
      <c r="H25" s="352">
        <v>32000000</v>
      </c>
      <c r="I25" s="349">
        <f>H25</f>
        <v>32000000</v>
      </c>
      <c r="J25" s="6">
        <v>44286</v>
      </c>
      <c r="K25" s="6">
        <f>J25+35</f>
        <v>44321</v>
      </c>
      <c r="L25" s="349">
        <v>32000000</v>
      </c>
      <c r="M25" s="6">
        <f>J25+180</f>
        <v>44466</v>
      </c>
      <c r="N25" s="349"/>
      <c r="O25" s="349"/>
      <c r="P25" s="6"/>
      <c r="Q25" s="5" t="s">
        <v>272</v>
      </c>
      <c r="R25" s="6"/>
    </row>
    <row r="26" spans="1:19" s="13" customFormat="1">
      <c r="A26" s="13">
        <v>112</v>
      </c>
      <c r="B26" s="13">
        <v>42</v>
      </c>
      <c r="C26" s="13" t="s">
        <v>484</v>
      </c>
      <c r="D26" s="13" t="s">
        <v>390</v>
      </c>
      <c r="E26" s="13" t="s">
        <v>416</v>
      </c>
      <c r="F26" s="36" t="s">
        <v>485</v>
      </c>
      <c r="G26" s="36" t="s">
        <v>349</v>
      </c>
      <c r="H26" s="289">
        <v>0</v>
      </c>
      <c r="I26" s="289"/>
      <c r="J26" s="11"/>
      <c r="K26" s="11"/>
      <c r="L26" s="289"/>
      <c r="M26" s="11"/>
      <c r="N26" s="289"/>
      <c r="O26" s="314"/>
      <c r="P26" s="11"/>
      <c r="Q26" s="13" t="s">
        <v>242</v>
      </c>
      <c r="R26" s="93" t="s">
        <v>763</v>
      </c>
    </row>
    <row r="27" spans="1:19" s="5" customFormat="1" ht="11.4">
      <c r="A27" s="5">
        <v>100</v>
      </c>
      <c r="B27" s="5">
        <v>110</v>
      </c>
      <c r="C27" s="5">
        <v>5376</v>
      </c>
      <c r="D27" s="5" t="s">
        <v>625</v>
      </c>
      <c r="E27" s="5" t="s">
        <v>269</v>
      </c>
      <c r="F27" s="26" t="s">
        <v>513</v>
      </c>
      <c r="G27" s="26" t="s">
        <v>80</v>
      </c>
      <c r="H27" s="349">
        <v>69152737</v>
      </c>
      <c r="I27" s="349">
        <f>H27</f>
        <v>69152737</v>
      </c>
      <c r="J27" s="6">
        <v>44356</v>
      </c>
      <c r="K27" s="6">
        <f>J27+35</f>
        <v>44391</v>
      </c>
      <c r="L27" s="428"/>
      <c r="M27" s="6">
        <f>J27+180</f>
        <v>44536</v>
      </c>
      <c r="N27" s="349"/>
      <c r="O27" s="349"/>
      <c r="P27" s="6"/>
      <c r="Q27" s="5" t="s">
        <v>272</v>
      </c>
      <c r="S27" s="381" t="s">
        <v>670</v>
      </c>
    </row>
    <row r="28" spans="1:19" s="13" customFormat="1">
      <c r="A28" s="13">
        <v>104</v>
      </c>
      <c r="B28" s="13">
        <v>111</v>
      </c>
      <c r="C28" s="13" t="s">
        <v>524</v>
      </c>
      <c r="D28" s="13" t="s">
        <v>390</v>
      </c>
      <c r="E28" s="13" t="s">
        <v>221</v>
      </c>
      <c r="F28" s="36" t="s">
        <v>529</v>
      </c>
      <c r="G28" s="36" t="s">
        <v>79</v>
      </c>
      <c r="H28" s="425">
        <v>0</v>
      </c>
      <c r="I28" s="289"/>
      <c r="J28" s="11"/>
      <c r="K28" s="11"/>
      <c r="L28" s="289"/>
      <c r="M28" s="11"/>
      <c r="N28" s="289"/>
      <c r="O28" s="289"/>
      <c r="P28" s="11"/>
      <c r="Q28" s="13" t="s">
        <v>272</v>
      </c>
      <c r="R28" s="93"/>
    </row>
    <row r="29" spans="1:19" s="5" customFormat="1" ht="11.4">
      <c r="A29" s="5">
        <v>105</v>
      </c>
      <c r="B29" s="5">
        <v>112</v>
      </c>
      <c r="C29" s="5">
        <v>5377</v>
      </c>
      <c r="D29" s="5" t="s">
        <v>625</v>
      </c>
      <c r="E29" s="5" t="s">
        <v>269</v>
      </c>
      <c r="F29" s="26" t="s">
        <v>514</v>
      </c>
      <c r="G29" s="26" t="s">
        <v>80</v>
      </c>
      <c r="H29" s="349">
        <v>69152737</v>
      </c>
      <c r="I29" s="349">
        <f>H29</f>
        <v>69152737</v>
      </c>
      <c r="J29" s="6">
        <v>44357</v>
      </c>
      <c r="K29" s="6">
        <f>J29+35</f>
        <v>44392</v>
      </c>
      <c r="L29" s="428"/>
      <c r="M29" s="6">
        <f>J29+180</f>
        <v>44537</v>
      </c>
      <c r="N29" s="349"/>
      <c r="O29" s="349"/>
      <c r="P29" s="6"/>
      <c r="Q29" s="5" t="s">
        <v>272</v>
      </c>
    </row>
    <row r="30" spans="1:19" s="5" customFormat="1" ht="11.4">
      <c r="A30" s="5">
        <v>106</v>
      </c>
      <c r="B30" s="5">
        <v>114</v>
      </c>
      <c r="C30" s="5">
        <v>5379</v>
      </c>
      <c r="D30" s="5" t="s">
        <v>625</v>
      </c>
      <c r="E30" s="5" t="s">
        <v>266</v>
      </c>
      <c r="F30" s="26" t="s">
        <v>481</v>
      </c>
      <c r="G30" s="26" t="s">
        <v>78</v>
      </c>
      <c r="H30" s="352">
        <v>40000000</v>
      </c>
      <c r="I30" s="349">
        <f>H30</f>
        <v>40000000</v>
      </c>
      <c r="J30" s="6">
        <v>44362</v>
      </c>
      <c r="K30" s="6">
        <f>J30+35</f>
        <v>44397</v>
      </c>
      <c r="L30" s="349"/>
      <c r="M30" s="6">
        <f>J30+180</f>
        <v>44542</v>
      </c>
      <c r="N30" s="349"/>
      <c r="O30" s="349"/>
      <c r="P30" s="6"/>
      <c r="Q30" s="5" t="s">
        <v>272</v>
      </c>
      <c r="R30" s="6"/>
    </row>
    <row r="31" spans="1:19" s="5" customFormat="1" ht="11.4">
      <c r="A31" s="5">
        <v>115</v>
      </c>
      <c r="B31" s="5">
        <v>118</v>
      </c>
      <c r="C31" s="5">
        <v>5380</v>
      </c>
      <c r="D31" s="5" t="s">
        <v>625</v>
      </c>
      <c r="E31" s="5" t="s">
        <v>141</v>
      </c>
      <c r="F31" s="26" t="s">
        <v>219</v>
      </c>
      <c r="G31" s="26" t="s">
        <v>142</v>
      </c>
      <c r="H31" s="352">
        <v>45000000</v>
      </c>
      <c r="I31" s="349">
        <f t="shared" ref="I31:I32" si="3">H31</f>
        <v>45000000</v>
      </c>
      <c r="J31" s="6">
        <v>44362</v>
      </c>
      <c r="K31" s="6">
        <f t="shared" ref="K31:K34" si="4">J31+35</f>
        <v>44397</v>
      </c>
      <c r="L31" s="349"/>
      <c r="M31" s="6">
        <f t="shared" ref="M31:M34" si="5">J31+180</f>
        <v>44542</v>
      </c>
      <c r="N31" s="349"/>
      <c r="O31" s="349"/>
      <c r="P31" s="6"/>
      <c r="Q31" s="5" t="s">
        <v>272</v>
      </c>
      <c r="R31" s="6"/>
    </row>
    <row r="32" spans="1:19" s="5" customFormat="1" ht="11.4">
      <c r="A32" s="5">
        <v>117</v>
      </c>
      <c r="B32" s="5">
        <v>119</v>
      </c>
      <c r="C32" s="5">
        <v>5381</v>
      </c>
      <c r="D32" s="5" t="s">
        <v>625</v>
      </c>
      <c r="E32" s="5" t="s">
        <v>266</v>
      </c>
      <c r="F32" s="26" t="s">
        <v>482</v>
      </c>
      <c r="G32" s="26" t="s">
        <v>78</v>
      </c>
      <c r="H32" s="352">
        <v>40000000</v>
      </c>
      <c r="I32" s="349">
        <f t="shared" si="3"/>
        <v>40000000</v>
      </c>
      <c r="J32" s="6">
        <v>44362</v>
      </c>
      <c r="K32" s="6">
        <f t="shared" si="4"/>
        <v>44397</v>
      </c>
      <c r="L32" s="349"/>
      <c r="M32" s="6">
        <f t="shared" si="5"/>
        <v>44542</v>
      </c>
      <c r="N32" s="349"/>
      <c r="O32" s="349"/>
      <c r="P32" s="6"/>
      <c r="Q32" s="5" t="s">
        <v>272</v>
      </c>
      <c r="R32" s="6"/>
    </row>
    <row r="33" spans="1:19" s="5" customFormat="1" ht="11.4">
      <c r="A33" s="5" t="s">
        <v>146</v>
      </c>
      <c r="B33" s="5" t="s">
        <v>146</v>
      </c>
      <c r="C33" s="5">
        <v>5382</v>
      </c>
      <c r="D33" s="5" t="s">
        <v>625</v>
      </c>
      <c r="E33" s="5" t="s">
        <v>266</v>
      </c>
      <c r="F33" s="26" t="s">
        <v>330</v>
      </c>
      <c r="G33" s="26" t="s">
        <v>78</v>
      </c>
      <c r="H33" s="352">
        <v>40000000</v>
      </c>
      <c r="I33" s="349">
        <f>H33</f>
        <v>40000000</v>
      </c>
      <c r="J33" s="6">
        <v>44370</v>
      </c>
      <c r="K33" s="6">
        <f t="shared" si="4"/>
        <v>44405</v>
      </c>
      <c r="L33" s="349"/>
      <c r="M33" s="6">
        <f t="shared" si="5"/>
        <v>44550</v>
      </c>
      <c r="N33" s="349"/>
      <c r="O33" s="349"/>
      <c r="P33" s="6"/>
      <c r="Q33" s="5" t="s">
        <v>272</v>
      </c>
      <c r="R33" s="6"/>
    </row>
    <row r="34" spans="1:19" s="90" customFormat="1" ht="11.4">
      <c r="A34" s="90" t="s">
        <v>146</v>
      </c>
      <c r="B34" s="90" t="s">
        <v>146</v>
      </c>
      <c r="C34" s="90">
        <v>5383</v>
      </c>
      <c r="D34" s="90" t="s">
        <v>625</v>
      </c>
      <c r="E34" s="90" t="s">
        <v>266</v>
      </c>
      <c r="F34" s="89" t="s">
        <v>654</v>
      </c>
      <c r="G34" s="89" t="s">
        <v>78</v>
      </c>
      <c r="H34" s="482">
        <v>42000000</v>
      </c>
      <c r="I34" s="481">
        <f>H34</f>
        <v>42000000</v>
      </c>
      <c r="J34" s="92">
        <v>44370</v>
      </c>
      <c r="K34" s="92">
        <f t="shared" si="4"/>
        <v>44405</v>
      </c>
      <c r="L34" s="481"/>
      <c r="M34" s="92">
        <f t="shared" si="5"/>
        <v>44550</v>
      </c>
      <c r="N34" s="481"/>
      <c r="O34" s="481"/>
      <c r="P34" s="92"/>
      <c r="Q34" s="90" t="s">
        <v>272</v>
      </c>
      <c r="R34" s="549"/>
    </row>
    <row r="35" spans="1:19" s="13" customFormat="1">
      <c r="A35" s="13" t="s">
        <v>146</v>
      </c>
      <c r="B35" s="13" t="s">
        <v>146</v>
      </c>
      <c r="C35" s="13" t="s">
        <v>655</v>
      </c>
      <c r="D35" s="13" t="s">
        <v>43</v>
      </c>
      <c r="E35" s="13" t="s">
        <v>266</v>
      </c>
      <c r="F35" s="36" t="s">
        <v>467</v>
      </c>
      <c r="G35" s="36" t="s">
        <v>78</v>
      </c>
      <c r="H35" s="425">
        <v>50000000</v>
      </c>
      <c r="I35" s="289"/>
      <c r="J35" s="11"/>
      <c r="K35" s="11"/>
      <c r="L35" s="289"/>
      <c r="M35" s="11"/>
      <c r="N35" s="289"/>
      <c r="O35" s="289"/>
      <c r="P35" s="11"/>
      <c r="Q35" s="13" t="s">
        <v>272</v>
      </c>
      <c r="R35" s="93"/>
    </row>
    <row r="36" spans="1:19" s="13" customFormat="1">
      <c r="A36" s="13" t="s">
        <v>146</v>
      </c>
      <c r="B36" s="13" t="s">
        <v>146</v>
      </c>
      <c r="C36" s="13" t="s">
        <v>685</v>
      </c>
      <c r="D36" s="13" t="s">
        <v>43</v>
      </c>
      <c r="E36" s="13" t="s">
        <v>686</v>
      </c>
      <c r="F36" s="36" t="s">
        <v>687</v>
      </c>
      <c r="G36" s="36" t="s">
        <v>688</v>
      </c>
      <c r="H36" s="425">
        <v>37000000</v>
      </c>
      <c r="I36" s="289"/>
      <c r="J36" s="11"/>
      <c r="K36" s="11"/>
      <c r="L36" s="289"/>
      <c r="M36" s="11"/>
      <c r="N36" s="289"/>
      <c r="O36" s="289"/>
      <c r="P36" s="11"/>
      <c r="Q36" s="13" t="s">
        <v>272</v>
      </c>
      <c r="R36" s="93"/>
    </row>
    <row r="37" spans="1:19" s="13" customFormat="1">
      <c r="A37" s="13" t="s">
        <v>146</v>
      </c>
      <c r="B37" s="13" t="s">
        <v>146</v>
      </c>
      <c r="C37" s="13" t="s">
        <v>691</v>
      </c>
      <c r="D37" s="13" t="s">
        <v>390</v>
      </c>
      <c r="E37" s="13" t="s">
        <v>692</v>
      </c>
      <c r="F37" s="36" t="s">
        <v>693</v>
      </c>
      <c r="G37" s="36" t="s">
        <v>81</v>
      </c>
      <c r="H37" s="425">
        <v>0</v>
      </c>
      <c r="I37" s="289"/>
      <c r="J37" s="11"/>
      <c r="K37" s="11"/>
      <c r="L37" s="289"/>
      <c r="M37" s="11"/>
      <c r="N37" s="289"/>
      <c r="O37" s="289"/>
      <c r="P37" s="11"/>
      <c r="Q37" s="13" t="s">
        <v>272</v>
      </c>
      <c r="R37" s="93"/>
    </row>
    <row r="38" spans="1:19" s="13" customFormat="1">
      <c r="A38" s="13" t="s">
        <v>146</v>
      </c>
      <c r="B38" s="13" t="s">
        <v>146</v>
      </c>
      <c r="C38" s="13" t="s">
        <v>699</v>
      </c>
      <c r="D38" s="13" t="s">
        <v>43</v>
      </c>
      <c r="E38" s="13" t="s">
        <v>268</v>
      </c>
      <c r="F38" s="36" t="s">
        <v>418</v>
      </c>
      <c r="G38" s="36" t="s">
        <v>419</v>
      </c>
      <c r="H38" s="425">
        <v>22500000</v>
      </c>
      <c r="I38" s="289"/>
      <c r="J38" s="11"/>
      <c r="K38" s="11"/>
      <c r="L38" s="289"/>
      <c r="M38" s="11"/>
      <c r="N38" s="289"/>
      <c r="O38" s="289"/>
      <c r="P38" s="11"/>
      <c r="Q38" s="13" t="s">
        <v>272</v>
      </c>
      <c r="R38" s="93"/>
    </row>
    <row r="39" spans="1:19" s="13" customFormat="1">
      <c r="A39" s="13" t="s">
        <v>146</v>
      </c>
      <c r="B39" s="13" t="s">
        <v>146</v>
      </c>
      <c r="C39" s="13" t="s">
        <v>708</v>
      </c>
      <c r="D39" s="13" t="s">
        <v>43</v>
      </c>
      <c r="E39" s="13" t="s">
        <v>97</v>
      </c>
      <c r="F39" s="36" t="s">
        <v>709</v>
      </c>
      <c r="G39" s="36" t="s">
        <v>95</v>
      </c>
      <c r="H39" s="425">
        <v>17320000</v>
      </c>
      <c r="I39" s="289"/>
      <c r="J39" s="11"/>
      <c r="K39" s="11"/>
      <c r="L39" s="289"/>
      <c r="M39" s="11"/>
      <c r="N39" s="289"/>
      <c r="O39" s="289"/>
      <c r="P39" s="11"/>
      <c r="Q39" s="13" t="s">
        <v>272</v>
      </c>
      <c r="R39" s="93"/>
    </row>
    <row r="40" spans="1:19" s="13" customFormat="1">
      <c r="A40" s="13" t="s">
        <v>146</v>
      </c>
      <c r="B40" s="13" t="s">
        <v>146</v>
      </c>
      <c r="C40" s="13" t="s">
        <v>710</v>
      </c>
      <c r="D40" s="13" t="s">
        <v>43</v>
      </c>
      <c r="E40" s="13" t="s">
        <v>97</v>
      </c>
      <c r="F40" s="36" t="s">
        <v>711</v>
      </c>
      <c r="G40" s="36" t="s">
        <v>95</v>
      </c>
      <c r="H40" s="425">
        <v>22680000</v>
      </c>
      <c r="I40" s="289"/>
      <c r="J40" s="11"/>
      <c r="K40" s="11"/>
      <c r="L40" s="289"/>
      <c r="M40" s="11"/>
      <c r="N40" s="289"/>
      <c r="O40" s="289"/>
      <c r="P40" s="11"/>
      <c r="Q40" s="13" t="s">
        <v>272</v>
      </c>
      <c r="R40" s="93"/>
    </row>
    <row r="41" spans="1:19" s="13" customFormat="1">
      <c r="A41" s="13" t="s">
        <v>146</v>
      </c>
      <c r="B41" s="13" t="s">
        <v>146</v>
      </c>
      <c r="C41" s="13" t="s">
        <v>713</v>
      </c>
      <c r="D41" s="13" t="s">
        <v>43</v>
      </c>
      <c r="E41" s="13" t="s">
        <v>266</v>
      </c>
      <c r="F41" s="36" t="s">
        <v>714</v>
      </c>
      <c r="G41" s="36" t="s">
        <v>78</v>
      </c>
      <c r="H41" s="425">
        <v>38000000</v>
      </c>
      <c r="I41" s="289"/>
      <c r="J41" s="11"/>
      <c r="K41" s="11"/>
      <c r="L41" s="289"/>
      <c r="M41" s="11"/>
      <c r="N41" s="289"/>
      <c r="O41" s="289"/>
      <c r="P41" s="11"/>
      <c r="Q41" s="13" t="s">
        <v>272</v>
      </c>
      <c r="R41" s="93"/>
    </row>
    <row r="42" spans="1:19" s="5" customFormat="1" ht="11.4">
      <c r="A42" s="5" t="s">
        <v>146</v>
      </c>
      <c r="B42" s="5" t="s">
        <v>146</v>
      </c>
      <c r="C42" s="5">
        <v>5347</v>
      </c>
      <c r="D42" s="5" t="s">
        <v>625</v>
      </c>
      <c r="E42" s="5" t="s">
        <v>143</v>
      </c>
      <c r="F42" s="26" t="s">
        <v>716</v>
      </c>
      <c r="G42" s="26" t="s">
        <v>79</v>
      </c>
      <c r="H42" s="352">
        <v>25000000</v>
      </c>
      <c r="I42" s="349">
        <f>H42</f>
        <v>25000000</v>
      </c>
      <c r="J42" s="6">
        <v>44294</v>
      </c>
      <c r="K42" s="6">
        <f>J42+35</f>
        <v>44329</v>
      </c>
      <c r="L42" s="349">
        <v>25000000</v>
      </c>
      <c r="M42" s="6">
        <f>J42+180</f>
        <v>44474</v>
      </c>
      <c r="N42" s="349"/>
      <c r="O42" s="349"/>
      <c r="P42" s="6"/>
      <c r="Q42" s="5" t="s">
        <v>272</v>
      </c>
      <c r="R42" s="142"/>
      <c r="S42" s="381" t="s">
        <v>720</v>
      </c>
    </row>
    <row r="43" spans="1:19" s="13" customFormat="1">
      <c r="A43" s="13" t="s">
        <v>146</v>
      </c>
      <c r="B43" s="13" t="s">
        <v>146</v>
      </c>
      <c r="C43" s="13" t="s">
        <v>718</v>
      </c>
      <c r="D43" s="13" t="s">
        <v>43</v>
      </c>
      <c r="E43" s="13" t="s">
        <v>266</v>
      </c>
      <c r="F43" s="36" t="s">
        <v>474</v>
      </c>
      <c r="G43" s="36" t="s">
        <v>78</v>
      </c>
      <c r="H43" s="425">
        <v>50000000</v>
      </c>
      <c r="I43" s="289"/>
      <c r="J43" s="11"/>
      <c r="K43" s="11"/>
      <c r="L43" s="289"/>
      <c r="M43" s="11"/>
      <c r="N43" s="289"/>
      <c r="O43" s="289"/>
      <c r="P43" s="11"/>
      <c r="Q43" s="13" t="s">
        <v>272</v>
      </c>
      <c r="R43" s="93"/>
    </row>
    <row r="44" spans="1:19" s="13" customFormat="1">
      <c r="A44" s="13" t="s">
        <v>146</v>
      </c>
      <c r="B44" s="13" t="s">
        <v>146</v>
      </c>
      <c r="C44" s="13">
        <v>5348</v>
      </c>
      <c r="D44" s="13" t="s">
        <v>391</v>
      </c>
      <c r="E44" s="13" t="s">
        <v>168</v>
      </c>
      <c r="F44" s="36" t="s">
        <v>721</v>
      </c>
      <c r="G44" s="36" t="s">
        <v>169</v>
      </c>
      <c r="H44" s="425">
        <v>2000000</v>
      </c>
      <c r="I44" s="289">
        <f>H44</f>
        <v>2000000</v>
      </c>
      <c r="J44" s="11">
        <v>44294</v>
      </c>
      <c r="K44" s="11">
        <f>J44+35</f>
        <v>44329</v>
      </c>
      <c r="L44" s="289">
        <v>2000000</v>
      </c>
      <c r="M44" s="11">
        <f>J44+180</f>
        <v>44474</v>
      </c>
      <c r="N44" s="289">
        <v>0</v>
      </c>
      <c r="O44" s="289">
        <f>I44-N44</f>
        <v>2000000</v>
      </c>
      <c r="P44" s="11"/>
      <c r="Q44" s="13" t="s">
        <v>272</v>
      </c>
      <c r="R44" s="93"/>
    </row>
    <row r="45" spans="1:19" s="13" customFormat="1">
      <c r="A45" s="13" t="s">
        <v>146</v>
      </c>
      <c r="B45" s="13" t="s">
        <v>146</v>
      </c>
      <c r="C45" s="13" t="s">
        <v>736</v>
      </c>
      <c r="D45" s="13" t="s">
        <v>43</v>
      </c>
      <c r="E45" s="13" t="s">
        <v>269</v>
      </c>
      <c r="F45" s="36" t="s">
        <v>507</v>
      </c>
      <c r="G45" s="36" t="s">
        <v>80</v>
      </c>
      <c r="H45" s="425">
        <v>20000000</v>
      </c>
      <c r="I45" s="289"/>
      <c r="J45" s="11"/>
      <c r="K45" s="11"/>
      <c r="L45" s="289"/>
      <c r="M45" s="11"/>
      <c r="N45" s="289"/>
      <c r="O45" s="289"/>
      <c r="P45" s="11"/>
      <c r="Q45" s="13" t="s">
        <v>272</v>
      </c>
      <c r="R45" s="93"/>
    </row>
    <row r="46" spans="1:19" s="13" customFormat="1">
      <c r="A46" s="13" t="s">
        <v>146</v>
      </c>
      <c r="B46" s="13" t="s">
        <v>146</v>
      </c>
      <c r="C46" s="13" t="s">
        <v>758</v>
      </c>
      <c r="D46" s="13" t="s">
        <v>43</v>
      </c>
      <c r="E46" s="13" t="s">
        <v>269</v>
      </c>
      <c r="F46" s="36" t="s">
        <v>759</v>
      </c>
      <c r="G46" s="36" t="s">
        <v>230</v>
      </c>
      <c r="H46" s="289">
        <v>69152737</v>
      </c>
      <c r="I46" s="289"/>
      <c r="J46" s="11"/>
      <c r="K46" s="11"/>
      <c r="L46" s="289"/>
      <c r="M46" s="11"/>
      <c r="N46" s="289"/>
      <c r="O46" s="289"/>
      <c r="P46" s="11"/>
      <c r="Q46" s="13" t="s">
        <v>272</v>
      </c>
      <c r="R46" s="93"/>
    </row>
    <row r="47" spans="1:19" s="13" customFormat="1">
      <c r="A47" s="13" t="s">
        <v>146</v>
      </c>
      <c r="B47" s="13" t="s">
        <v>146</v>
      </c>
      <c r="C47" s="13" t="s">
        <v>767</v>
      </c>
      <c r="D47" s="13" t="s">
        <v>43</v>
      </c>
      <c r="E47" s="13" t="s">
        <v>468</v>
      </c>
      <c r="F47" s="36" t="s">
        <v>469</v>
      </c>
      <c r="G47" s="36" t="s">
        <v>470</v>
      </c>
      <c r="H47" s="289">
        <v>30000000</v>
      </c>
      <c r="I47" s="289"/>
      <c r="J47" s="11"/>
      <c r="K47" s="11"/>
      <c r="L47" s="289"/>
      <c r="M47" s="11"/>
      <c r="N47" s="289"/>
      <c r="O47" s="289"/>
      <c r="P47" s="11"/>
      <c r="Q47" s="13" t="s">
        <v>264</v>
      </c>
      <c r="R47" s="93"/>
    </row>
    <row r="48" spans="1:19" s="13" customFormat="1">
      <c r="A48" s="13" t="s">
        <v>146</v>
      </c>
      <c r="B48" s="13" t="s">
        <v>146</v>
      </c>
      <c r="C48" s="13" t="s">
        <v>768</v>
      </c>
      <c r="D48" s="13" t="s">
        <v>43</v>
      </c>
      <c r="E48" s="13" t="s">
        <v>769</v>
      </c>
      <c r="F48" s="36" t="s">
        <v>770</v>
      </c>
      <c r="G48" s="36" t="s">
        <v>771</v>
      </c>
      <c r="H48" s="289">
        <v>35000000</v>
      </c>
      <c r="I48" s="289"/>
      <c r="J48" s="11"/>
      <c r="K48" s="11"/>
      <c r="L48" s="289"/>
      <c r="M48" s="11"/>
      <c r="N48" s="289"/>
      <c r="O48" s="289"/>
      <c r="P48" s="11"/>
      <c r="Q48" s="13" t="s">
        <v>241</v>
      </c>
      <c r="R48" s="93"/>
    </row>
    <row r="49" spans="1:18" s="13" customFormat="1">
      <c r="A49" s="13" t="s">
        <v>146</v>
      </c>
      <c r="B49" s="13" t="s">
        <v>146</v>
      </c>
      <c r="C49" s="13" t="s">
        <v>772</v>
      </c>
      <c r="D49" s="13" t="s">
        <v>43</v>
      </c>
      <c r="E49" s="13" t="s">
        <v>265</v>
      </c>
      <c r="F49" s="36" t="s">
        <v>773</v>
      </c>
      <c r="G49" s="36" t="s">
        <v>211</v>
      </c>
      <c r="H49" s="289">
        <v>22000000</v>
      </c>
      <c r="I49" s="289"/>
      <c r="J49" s="11"/>
      <c r="K49" s="11"/>
      <c r="L49" s="289"/>
      <c r="M49" s="11"/>
      <c r="N49" s="289"/>
      <c r="O49" s="289"/>
      <c r="P49" s="11"/>
      <c r="Q49" s="13" t="s">
        <v>272</v>
      </c>
      <c r="R49" s="93"/>
    </row>
    <row r="50" spans="1:18" s="13" customFormat="1">
      <c r="A50" s="13" t="s">
        <v>146</v>
      </c>
      <c r="B50" s="13" t="s">
        <v>146</v>
      </c>
      <c r="C50" s="13" t="s">
        <v>779</v>
      </c>
      <c r="D50" s="13" t="s">
        <v>43</v>
      </c>
      <c r="E50" s="13" t="s">
        <v>269</v>
      </c>
      <c r="F50" s="36" t="s">
        <v>496</v>
      </c>
      <c r="G50" s="36" t="s">
        <v>497</v>
      </c>
      <c r="H50" s="289">
        <v>50000000</v>
      </c>
      <c r="I50" s="289"/>
      <c r="J50" s="11"/>
      <c r="K50" s="11"/>
      <c r="L50" s="289"/>
      <c r="M50" s="11"/>
      <c r="N50" s="289"/>
      <c r="O50" s="289"/>
      <c r="P50" s="11"/>
      <c r="Q50" s="13" t="s">
        <v>272</v>
      </c>
      <c r="R50" s="93"/>
    </row>
    <row r="51" spans="1:18" s="13" customFormat="1">
      <c r="A51" s="13" t="s">
        <v>146</v>
      </c>
      <c r="B51" s="13" t="s">
        <v>146</v>
      </c>
      <c r="C51" s="13" t="s">
        <v>780</v>
      </c>
      <c r="D51" s="13" t="s">
        <v>43</v>
      </c>
      <c r="E51" s="13" t="s">
        <v>97</v>
      </c>
      <c r="F51" s="36" t="s">
        <v>781</v>
      </c>
      <c r="G51" s="36" t="s">
        <v>95</v>
      </c>
      <c r="H51" s="289">
        <v>31000000</v>
      </c>
      <c r="I51" s="289"/>
      <c r="J51" s="11"/>
      <c r="K51" s="11"/>
      <c r="L51" s="289"/>
      <c r="M51" s="11"/>
      <c r="N51" s="289"/>
      <c r="O51" s="289"/>
      <c r="P51" s="11"/>
      <c r="Q51" s="13" t="s">
        <v>264</v>
      </c>
      <c r="R51" s="93"/>
    </row>
    <row r="52" spans="1:18" s="13" customFormat="1">
      <c r="A52" s="13" t="s">
        <v>146</v>
      </c>
      <c r="B52" s="13" t="s">
        <v>146</v>
      </c>
      <c r="C52" s="13" t="s">
        <v>784</v>
      </c>
      <c r="D52" s="13" t="s">
        <v>43</v>
      </c>
      <c r="E52" s="13" t="s">
        <v>487</v>
      </c>
      <c r="F52" s="36" t="s">
        <v>490</v>
      </c>
      <c r="G52" s="36" t="s">
        <v>489</v>
      </c>
      <c r="H52" s="289">
        <v>18000000</v>
      </c>
      <c r="I52" s="289"/>
      <c r="J52" s="11"/>
      <c r="K52" s="11"/>
      <c r="L52" s="289"/>
      <c r="M52" s="11"/>
      <c r="N52" s="289"/>
      <c r="O52" s="289"/>
      <c r="P52" s="11"/>
      <c r="Q52" s="13" t="s">
        <v>241</v>
      </c>
      <c r="R52" s="93"/>
    </row>
    <row r="53" spans="1:18">
      <c r="A53" s="13"/>
      <c r="B53" s="13"/>
      <c r="E53" s="202"/>
      <c r="F53" s="13"/>
      <c r="G53" s="453"/>
      <c r="H53" s="454"/>
      <c r="I53" s="455"/>
      <c r="J53" s="3"/>
      <c r="K53" s="3"/>
      <c r="L53" s="83"/>
      <c r="M53" s="3"/>
    </row>
    <row r="54" spans="1:18">
      <c r="C54" s="13"/>
      <c r="D54" s="13"/>
      <c r="E54" s="13"/>
      <c r="F54" s="13" t="s">
        <v>19</v>
      </c>
      <c r="G54" s="13"/>
      <c r="H54" s="263">
        <f>SUM(H7:H53)</f>
        <v>1166110948</v>
      </c>
      <c r="I54" s="263">
        <f>SUM(I7:I53)</f>
        <v>653458211</v>
      </c>
      <c r="J54" s="10"/>
      <c r="K54" s="10"/>
      <c r="L54" s="263">
        <f>SUM(L7:L53)</f>
        <v>263152737</v>
      </c>
      <c r="M54" s="10"/>
      <c r="N54" s="263">
        <f>SUM(N7:N53)</f>
        <v>0</v>
      </c>
      <c r="O54" s="263">
        <f>SUM(O7:O53)</f>
        <v>184152737</v>
      </c>
      <c r="P54" s="13"/>
    </row>
    <row r="55" spans="1:18">
      <c r="C55" s="43"/>
      <c r="D55" s="43"/>
      <c r="E55" s="148"/>
      <c r="F55" s="13"/>
      <c r="H55" s="76"/>
      <c r="J55" s="11"/>
      <c r="K55" s="11"/>
      <c r="L55" s="9"/>
      <c r="M55" s="6"/>
      <c r="O55" s="1"/>
    </row>
    <row r="56" spans="1:18">
      <c r="F56" s="13" t="s">
        <v>43</v>
      </c>
      <c r="G56" s="5"/>
      <c r="H56" s="34">
        <f>H54-I54</f>
        <v>512652737</v>
      </c>
      <c r="I56" s="9"/>
      <c r="J56" s="3"/>
      <c r="K56" s="3"/>
      <c r="L56" s="9"/>
      <c r="O56" s="1"/>
    </row>
    <row r="57" spans="1:18">
      <c r="G57" s="5"/>
      <c r="H57" s="67"/>
      <c r="I57" s="9"/>
      <c r="J57" s="3"/>
      <c r="L57" s="9"/>
      <c r="N57" s="76"/>
      <c r="O57" s="1"/>
    </row>
    <row r="58" spans="1:18">
      <c r="A58" s="43"/>
      <c r="B58" s="43"/>
      <c r="F58" s="58" t="s">
        <v>10</v>
      </c>
      <c r="G58" s="5"/>
      <c r="H58" s="77">
        <f>E1-I54+O54+G64</f>
        <v>34654251</v>
      </c>
      <c r="I58" s="292"/>
      <c r="J58" s="3"/>
      <c r="L58" s="9"/>
      <c r="M58" s="138"/>
      <c r="O58" s="1"/>
      <c r="Q58" s="13"/>
    </row>
    <row r="59" spans="1:18">
      <c r="F59" s="58"/>
      <c r="G59" s="5"/>
      <c r="H59" s="124"/>
      <c r="I59" s="195"/>
      <c r="J59" s="3"/>
      <c r="L59" s="9"/>
      <c r="M59" s="138"/>
      <c r="O59" s="1"/>
    </row>
    <row r="60" spans="1:18">
      <c r="F60" s="58"/>
      <c r="G60" s="5"/>
      <c r="H60" s="124"/>
      <c r="I60" s="292"/>
      <c r="J60" s="138"/>
      <c r="K60" s="3"/>
      <c r="L60" s="9"/>
      <c r="M60" s="138"/>
      <c r="O60" s="1"/>
    </row>
    <row r="61" spans="1:18">
      <c r="C61" s="43"/>
      <c r="D61" s="43"/>
      <c r="E61" s="148"/>
      <c r="F61" s="13"/>
      <c r="G61" s="13"/>
      <c r="H61" s="12"/>
      <c r="I61" s="41"/>
      <c r="J61" s="13"/>
      <c r="K61" s="11"/>
      <c r="L61" s="405"/>
      <c r="M61" s="11"/>
      <c r="N61" s="57"/>
      <c r="O61" s="12"/>
      <c r="P61" s="13"/>
    </row>
    <row r="62" spans="1:18">
      <c r="C62" s="13">
        <v>5238</v>
      </c>
      <c r="D62" s="13" t="s">
        <v>77</v>
      </c>
      <c r="E62" s="13" t="s">
        <v>143</v>
      </c>
      <c r="F62" s="13" t="s">
        <v>94</v>
      </c>
      <c r="G62" s="66">
        <v>25000000</v>
      </c>
      <c r="H62" s="288" t="s">
        <v>719</v>
      </c>
      <c r="I62" s="41"/>
      <c r="J62" s="36"/>
      <c r="K62" s="13"/>
      <c r="L62" s="198"/>
      <c r="M62" s="11"/>
      <c r="N62" s="57"/>
      <c r="O62" s="12"/>
      <c r="P62" s="13"/>
    </row>
    <row r="63" spans="1:18">
      <c r="C63" s="13">
        <v>5240</v>
      </c>
      <c r="D63" s="13" t="s">
        <v>77</v>
      </c>
      <c r="E63" s="13" t="s">
        <v>269</v>
      </c>
      <c r="F63" s="13" t="s">
        <v>94</v>
      </c>
      <c r="G63" s="539">
        <v>15000000</v>
      </c>
      <c r="H63" s="288" t="s">
        <v>764</v>
      </c>
      <c r="I63" s="41"/>
      <c r="J63" s="36"/>
      <c r="K63" s="13"/>
      <c r="L63" s="198"/>
      <c r="M63" s="11"/>
      <c r="N63" s="57"/>
      <c r="O63" s="12"/>
      <c r="P63" s="13"/>
    </row>
    <row r="64" spans="1:18">
      <c r="F64" s="13"/>
      <c r="G64" s="295">
        <f>SUM(G62:G63)</f>
        <v>40000000</v>
      </c>
      <c r="H64" s="12"/>
      <c r="I64" s="41"/>
      <c r="J64" s="13"/>
      <c r="K64" s="13"/>
      <c r="L64" s="198"/>
      <c r="M64" s="11"/>
      <c r="N64" s="57"/>
      <c r="O64" s="12"/>
      <c r="P64" s="13"/>
    </row>
    <row r="65" spans="3:16">
      <c r="I65" s="41"/>
      <c r="J65" s="13"/>
      <c r="K65" s="13"/>
      <c r="L65" s="400"/>
      <c r="M65" s="11"/>
      <c r="N65" s="57"/>
      <c r="O65" s="12"/>
      <c r="P65" s="13"/>
    </row>
    <row r="66" spans="3:16">
      <c r="G66" s="83"/>
      <c r="L66" s="414"/>
    </row>
    <row r="67" spans="3:16">
      <c r="C67" s="13"/>
      <c r="D67" s="13"/>
      <c r="E67" s="13"/>
      <c r="F67" s="36"/>
    </row>
    <row r="68" spans="3:16">
      <c r="G68" s="2"/>
    </row>
    <row r="69" spans="3:16">
      <c r="G69" s="140"/>
    </row>
    <row r="70" spans="3:16">
      <c r="G70" s="140"/>
    </row>
  </sheetData>
  <autoFilter ref="A6:S6" xr:uid="{00000000-0001-0000-0600-000000000000}"/>
  <phoneticPr fontId="3" type="noConversion"/>
  <pageMargins left="0.7" right="0.7" top="0.75" bottom="0.75" header="0.3" footer="0.3"/>
  <pageSetup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27</vt:i4>
      </vt:variant>
      <vt:variant>
        <vt:lpstr>Named Ranges</vt:lpstr>
      </vt:variant>
      <vt:variant>
        <vt:i4>14</vt:i4>
      </vt:variant>
    </vt:vector>
  </HeadingPairs>
  <TitlesOfParts>
    <vt:vector size="41" baseType="lpstr">
      <vt:lpstr>Totals</vt:lpstr>
      <vt:lpstr>2025 CF</vt:lpstr>
      <vt:lpstr>Aug 15</vt:lpstr>
      <vt:lpstr>SC1 MRB</vt:lpstr>
      <vt:lpstr>SC2 State Voted</vt:lpstr>
      <vt:lpstr>SC3 Small Issue IDBs</vt:lpstr>
      <vt:lpstr>SC4 TSAHC</vt:lpstr>
      <vt:lpstr>SC4 MF- TDHCA</vt:lpstr>
      <vt:lpstr>SC4 MF- Local Collapse</vt:lpstr>
      <vt:lpstr>REGION 1</vt:lpstr>
      <vt:lpstr>REGION 2</vt:lpstr>
      <vt:lpstr>REGION 3</vt:lpstr>
      <vt:lpstr>REGION 4</vt:lpstr>
      <vt:lpstr>REGION 5</vt:lpstr>
      <vt:lpstr>REGION 6</vt:lpstr>
      <vt:lpstr>REGION 7</vt:lpstr>
      <vt:lpstr>REGION 8</vt:lpstr>
      <vt:lpstr>REGION 9</vt:lpstr>
      <vt:lpstr>REGION 10</vt:lpstr>
      <vt:lpstr>REGION 11</vt:lpstr>
      <vt:lpstr>REGION 12</vt:lpstr>
      <vt:lpstr>REGION 13</vt:lpstr>
      <vt:lpstr>SC5 OTHER</vt:lpstr>
      <vt:lpstr>2022 CF</vt:lpstr>
      <vt:lpstr>2023 CF</vt:lpstr>
      <vt:lpstr>2024 CF</vt:lpstr>
      <vt:lpstr>Bond Buyer</vt:lpstr>
      <vt:lpstr>'REGION 6'!_Hlk75159162</vt:lpstr>
      <vt:lpstr>'REGION 1'!Print_Area</vt:lpstr>
      <vt:lpstr>'REGION 2'!Print_Area</vt:lpstr>
      <vt:lpstr>'REGION 3'!Print_Area</vt:lpstr>
      <vt:lpstr>'REGION 6'!Print_Area</vt:lpstr>
      <vt:lpstr>'SC1 MRB'!Print_Area</vt:lpstr>
      <vt:lpstr>'SC2 State Voted'!Print_Area</vt:lpstr>
      <vt:lpstr>'SC3 Small Issue IDBs'!Print_Area</vt:lpstr>
      <vt:lpstr>'SC4 MF- TDHCA'!Print_Area</vt:lpstr>
      <vt:lpstr>'SC5 OTHER'!Print_Area</vt:lpstr>
      <vt:lpstr>Totals!Print_Area</vt:lpstr>
      <vt:lpstr>'SC2 State Voted'!Print_Titles</vt:lpstr>
      <vt:lpstr>'SC3 Small Issue IDBs'!Print_Titles</vt:lpstr>
      <vt:lpstr>'SC4 MF- TDHCA'!Print_Titles</vt:lpstr>
    </vt:vector>
  </TitlesOfParts>
  <Company>Texas Bond Review Board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Texas Bond Review Board</dc:creator>
  <cp:lastModifiedBy>Jamie Backiel</cp:lastModifiedBy>
  <cp:lastPrinted>2022-04-18T21:23:50Z</cp:lastPrinted>
  <dcterms:created xsi:type="dcterms:W3CDTF">1998-10-28T19:13:07Z</dcterms:created>
  <dcterms:modified xsi:type="dcterms:W3CDTF">2025-07-03T20:47:29Z</dcterms:modified>
</cp:coreProperties>
</file>