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ate1904="1" codeName="ThisWorkbook" defaultThemeVersion="124226"/>
  <mc:AlternateContent xmlns:mc="http://schemas.openxmlformats.org/markup-compatibility/2006">
    <mc:Choice Requires="x15">
      <x15ac:absPath xmlns:x15ac="http://schemas.microsoft.com/office/spreadsheetml/2010/11/ac" url="https://api.box.com/wopi/files/1738881894387/WOPIServiceId_TP_BOX_2/WOPIUserId_-/"/>
    </mc:Choice>
  </mc:AlternateContent>
  <xr:revisionPtr revIDLastSave="6092" documentId="13_ncr:1_{8C7A796B-1059-4489-A811-88376F7C7A67}" xr6:coauthVersionLast="47" xr6:coauthVersionMax="47" xr10:uidLastSave="{F2365FF9-2FC6-4661-AE83-E7E3EEAABD7F}"/>
  <bookViews>
    <workbookView xWindow="28680" yWindow="-11055" windowWidth="29040" windowHeight="15720" tabRatio="914" xr2:uid="{00000000-000D-0000-FFFF-FFFF00000000}"/>
  </bookViews>
  <sheets>
    <sheet name="Totals" sheetId="5" r:id="rId1"/>
    <sheet name="2025 CF" sheetId="106" r:id="rId2"/>
    <sheet name="Aug 15" sheetId="103" r:id="rId3"/>
    <sheet name="SC1 MRB" sheetId="14" r:id="rId4"/>
    <sheet name="SC2 State Voted" sheetId="4" r:id="rId5"/>
    <sheet name="SC3 Small Issue IDBs" sheetId="6" r:id="rId6"/>
    <sheet name="SC4 TSAHC" sheetId="30" r:id="rId7"/>
    <sheet name="SC4 MF- TDHCA" sheetId="7" r:id="rId8"/>
    <sheet name="SC4 MF- Local Collapse" sheetId="86" r:id="rId9"/>
    <sheet name="REGION 1" sheetId="74" r:id="rId10"/>
    <sheet name="REGION 2" sheetId="73" r:id="rId11"/>
    <sheet name="REGION 3" sheetId="12" r:id="rId12"/>
    <sheet name="REGION 4" sheetId="75" r:id="rId13"/>
    <sheet name="REGION 5" sheetId="44" r:id="rId14"/>
    <sheet name="REGION 6" sheetId="18" r:id="rId15"/>
    <sheet name="REGION 7" sheetId="19" r:id="rId16"/>
    <sheet name="REGION 8" sheetId="78" r:id="rId17"/>
    <sheet name="REGION 9" sheetId="21" r:id="rId18"/>
    <sheet name="REGION 10" sheetId="22" r:id="rId19"/>
    <sheet name="REGION 11" sheetId="77" r:id="rId20"/>
    <sheet name="REGION 12" sheetId="76" r:id="rId21"/>
    <sheet name="REGION 13" sheetId="27" r:id="rId22"/>
    <sheet name="SC5 OTHER" sheetId="24" r:id="rId23"/>
    <sheet name="2022 CF" sheetId="102" r:id="rId24"/>
    <sheet name="2023 CF" sheetId="105" r:id="rId25"/>
    <sheet name="2024 CF" sheetId="104" r:id="rId26"/>
    <sheet name="Bond Buyer" sheetId="93" r:id="rId27"/>
  </sheets>
  <definedNames>
    <definedName name="_xlnm._FilterDatabase" localSheetId="2" hidden="1">'Aug 15'!$A$6:$T$6</definedName>
    <definedName name="_xlnm._FilterDatabase" localSheetId="8" hidden="1">'SC4 MF- Local Collapse'!$A$6:$S$6</definedName>
    <definedName name="_xlnm._FilterDatabase" localSheetId="7" hidden="1">'SC4 MF- TDHCA'!$A$6:$S$6</definedName>
    <definedName name="_xlnm._FilterDatabase" localSheetId="22" hidden="1">'SC5 OTHER'!$A$6:$S$74</definedName>
    <definedName name="_Hlk75159162" localSheetId="14">'REGION 6'!$E$7</definedName>
    <definedName name="_xlnm.Print_Area" localSheetId="9">'REGION 1'!$A$1:$P$14</definedName>
    <definedName name="_xlnm.Print_Area" localSheetId="10">'REGION 2'!$A$1:$P$13</definedName>
    <definedName name="_xlnm.Print_Area" localSheetId="11">'REGION 3'!$A$1:$P$31</definedName>
    <definedName name="_xlnm.Print_Area" localSheetId="14">'REGION 6'!$A$1:$P$29</definedName>
    <definedName name="_xlnm.Print_Area" localSheetId="3">'SC1 MRB'!$A$1:$R$47</definedName>
    <definedName name="_xlnm.Print_Area" localSheetId="4">'SC2 State Voted'!$A$1:$P$25</definedName>
    <definedName name="_xlnm.Print_Area" localSheetId="5">'SC3 Small Issue IDBs'!$A$1:$P$28</definedName>
    <definedName name="_xlnm.Print_Area" localSheetId="7">'SC4 MF- TDHCA'!$A$1:$P$28</definedName>
    <definedName name="_xlnm.Print_Area" localSheetId="22">'SC5 OTHER'!$A$1:$P$113</definedName>
    <definedName name="_xlnm.Print_Area" localSheetId="0">Totals!$A$1:$I$30</definedName>
    <definedName name="_xlnm.Print_Titles" localSheetId="4">'SC2 State Voted'!$1:$7</definedName>
    <definedName name="_xlnm.Print_Titles" localSheetId="5">'SC3 Small Issue IDBs'!$1:$6</definedName>
    <definedName name="_xlnm.Print_Titles" localSheetId="7">'SC4 MF- TDHCA'!$1:$6</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46" i="106" l="1"/>
  <c r="T67" i="106"/>
  <c r="T74" i="106" s="1"/>
  <c r="M74" i="106"/>
  <c r="J74" i="106"/>
  <c r="M67" i="106"/>
  <c r="J67" i="106"/>
  <c r="T51" i="106"/>
  <c r="M51" i="106"/>
  <c r="T64" i="106"/>
  <c r="M64" i="106"/>
  <c r="M53" i="106"/>
  <c r="T53" i="106" s="1"/>
  <c r="L67" i="106"/>
  <c r="M65" i="106"/>
  <c r="M49" i="106"/>
  <c r="T49" i="106" s="1"/>
  <c r="M62" i="106"/>
  <c r="T62" i="106" s="1"/>
  <c r="M61" i="106"/>
  <c r="T61" i="106" s="1"/>
  <c r="M52" i="106"/>
  <c r="T52" i="106" s="1"/>
  <c r="M41" i="106"/>
  <c r="T65" i="106" l="1"/>
  <c r="M59" i="106"/>
  <c r="T59" i="106" s="1"/>
  <c r="L46" i="106"/>
  <c r="J46" i="106"/>
  <c r="M54" i="106"/>
  <c r="T54" i="106" s="1"/>
  <c r="M57" i="106"/>
  <c r="T57" i="106" s="1"/>
  <c r="M44" i="106"/>
  <c r="T44" i="106" s="1"/>
  <c r="M42" i="106"/>
  <c r="T42" i="106" s="1"/>
  <c r="M9" i="30"/>
  <c r="M40" i="106"/>
  <c r="T40" i="106" s="1"/>
  <c r="M50" i="106"/>
  <c r="O27" i="86"/>
  <c r="B15" i="93"/>
  <c r="L81" i="104"/>
  <c r="L77" i="104"/>
  <c r="M29" i="86"/>
  <c r="M56" i="106"/>
  <c r="T56" i="106" s="1"/>
  <c r="M55" i="106"/>
  <c r="T55" i="106" s="1"/>
  <c r="T50" i="106" l="1"/>
  <c r="M93" i="24"/>
  <c r="B11" i="93" l="1"/>
  <c r="F19" i="106"/>
  <c r="M60" i="106"/>
  <c r="T60" i="106" s="1"/>
  <c r="M43" i="106"/>
  <c r="M46" i="106" s="1"/>
  <c r="M58" i="106"/>
  <c r="O85" i="24"/>
  <c r="L95" i="104"/>
  <c r="M85" i="24"/>
  <c r="O102" i="24"/>
  <c r="M102" i="24"/>
  <c r="T58" i="106" l="1"/>
  <c r="T43" i="106"/>
  <c r="M67" i="24"/>
  <c r="O67" i="24" l="1"/>
  <c r="B9" i="93"/>
  <c r="B18" i="93" l="1"/>
  <c r="B21" i="93"/>
  <c r="B22" i="93"/>
  <c r="B20" i="93"/>
  <c r="M63" i="106"/>
  <c r="O29" i="103"/>
  <c r="O31" i="103"/>
  <c r="M31" i="103"/>
  <c r="K31" i="103"/>
  <c r="N31" i="103" s="1"/>
  <c r="Q31" i="103" s="1"/>
  <c r="G51" i="103"/>
  <c r="M26" i="105"/>
  <c r="O30" i="103"/>
  <c r="M30" i="103"/>
  <c r="M29" i="103"/>
  <c r="L92" i="104"/>
  <c r="J31" i="103"/>
  <c r="J30" i="103"/>
  <c r="K30" i="103" s="1"/>
  <c r="J29" i="103"/>
  <c r="K29" i="103" s="1"/>
  <c r="O19" i="103"/>
  <c r="M19" i="103"/>
  <c r="T63" i="106" l="1"/>
  <c r="O28" i="103"/>
  <c r="O27" i="103"/>
  <c r="M28" i="103"/>
  <c r="M27" i="103"/>
  <c r="L50" i="104"/>
  <c r="L30" i="105"/>
  <c r="J28" i="103"/>
  <c r="K28" i="103" s="1"/>
  <c r="J27" i="103"/>
  <c r="K27" i="103" s="1"/>
  <c r="O26" i="103"/>
  <c r="L91" i="104"/>
  <c r="M26" i="103"/>
  <c r="J26" i="103"/>
  <c r="K26" i="103" s="1"/>
  <c r="Q24" i="103"/>
  <c r="O24" i="103"/>
  <c r="O78" i="24" l="1"/>
  <c r="M78" i="24"/>
  <c r="O88" i="24"/>
  <c r="H33" i="103"/>
  <c r="M25" i="103"/>
  <c r="J25" i="103"/>
  <c r="K25" i="103" s="1"/>
  <c r="O86" i="24"/>
  <c r="M86" i="24"/>
  <c r="L75" i="104"/>
  <c r="O57" i="24"/>
  <c r="M57" i="24"/>
  <c r="Q11" i="103"/>
  <c r="O11" i="103"/>
  <c r="M83" i="24"/>
  <c r="O83" i="24"/>
  <c r="O74" i="24" l="1"/>
  <c r="M74" i="24"/>
  <c r="H14" i="77"/>
  <c r="M18" i="103"/>
  <c r="O18" i="103"/>
  <c r="K18" i="103"/>
  <c r="O7" i="77"/>
  <c r="M7" i="77"/>
  <c r="O82" i="24"/>
  <c r="M87" i="24"/>
  <c r="O87" i="24"/>
  <c r="O50" i="24"/>
  <c r="M50" i="24"/>
  <c r="O17" i="103" l="1"/>
  <c r="M17" i="103"/>
  <c r="K17" i="103"/>
  <c r="N17" i="103" s="1"/>
  <c r="O31" i="86"/>
  <c r="M31" i="86"/>
  <c r="L24" i="105"/>
  <c r="M24" i="103"/>
  <c r="J24" i="103"/>
  <c r="K24" i="103" s="1"/>
  <c r="M42" i="86"/>
  <c r="O42" i="86"/>
  <c r="O23" i="103"/>
  <c r="M23" i="103"/>
  <c r="O13" i="86"/>
  <c r="M13" i="86"/>
  <c r="J23" i="103"/>
  <c r="K23" i="103" s="1"/>
  <c r="Q23" i="103" s="1"/>
  <c r="O22" i="103"/>
  <c r="M22" i="103"/>
  <c r="O72" i="24"/>
  <c r="J22" i="103" l="1"/>
  <c r="K22" i="103" s="1"/>
  <c r="O13" i="103" l="1"/>
  <c r="G32" i="18"/>
  <c r="O14" i="18"/>
  <c r="M14" i="18"/>
  <c r="L86" i="104"/>
  <c r="M14" i="103"/>
  <c r="O14" i="103"/>
  <c r="M15" i="103"/>
  <c r="O15" i="103"/>
  <c r="M16" i="103"/>
  <c r="O16" i="103"/>
  <c r="M13" i="103"/>
  <c r="O9" i="103"/>
  <c r="M10" i="103"/>
  <c r="O10" i="103"/>
  <c r="M11" i="103"/>
  <c r="M12" i="103"/>
  <c r="O12" i="103"/>
  <c r="M9" i="103"/>
  <c r="J21" i="103"/>
  <c r="B24" i="93"/>
  <c r="H107" i="24"/>
  <c r="O7" i="103"/>
  <c r="M7" i="103"/>
  <c r="J20" i="103"/>
  <c r="J19" i="103"/>
  <c r="K19" i="103" s="1"/>
  <c r="N19" i="103" s="1"/>
  <c r="J8" i="103" l="1"/>
  <c r="J9" i="103"/>
  <c r="K9" i="103" s="1"/>
  <c r="J10" i="103"/>
  <c r="K10" i="103" s="1"/>
  <c r="J11" i="103"/>
  <c r="K11" i="103" s="1"/>
  <c r="J12" i="103"/>
  <c r="K12" i="103" s="1"/>
  <c r="J13" i="103"/>
  <c r="K13" i="103" s="1"/>
  <c r="J14" i="103"/>
  <c r="K14" i="103" s="1"/>
  <c r="J15" i="103"/>
  <c r="K15" i="103" s="1"/>
  <c r="J16" i="103"/>
  <c r="K16" i="103" s="1"/>
  <c r="J7" i="103"/>
  <c r="K7" i="103" s="1"/>
  <c r="G119" i="24"/>
  <c r="L72" i="104"/>
  <c r="L85" i="104"/>
  <c r="L84" i="104"/>
  <c r="L83" i="104"/>
  <c r="I19" i="7"/>
  <c r="G36" i="7"/>
  <c r="K18" i="7"/>
  <c r="M18" i="7"/>
  <c r="K19" i="7"/>
  <c r="M19" i="7"/>
  <c r="I18" i="7"/>
  <c r="K33" i="103" l="1"/>
  <c r="K105" i="24"/>
  <c r="M105" i="24"/>
  <c r="I105" i="24"/>
  <c r="L94" i="104"/>
  <c r="K12" i="7"/>
  <c r="M12" i="7"/>
  <c r="K13" i="7"/>
  <c r="M13" i="7"/>
  <c r="K14" i="7"/>
  <c r="M14" i="7"/>
  <c r="K15" i="7"/>
  <c r="M15" i="7"/>
  <c r="K16" i="7"/>
  <c r="M16" i="7"/>
  <c r="K17" i="7"/>
  <c r="M17" i="7"/>
  <c r="K11" i="7"/>
  <c r="M11" i="7"/>
  <c r="I12" i="7"/>
  <c r="I13" i="7"/>
  <c r="I14" i="7"/>
  <c r="I15" i="7"/>
  <c r="I16" i="7"/>
  <c r="I17" i="7"/>
  <c r="I11" i="7"/>
  <c r="K104" i="24"/>
  <c r="M104" i="24"/>
  <c r="I104" i="24"/>
  <c r="M43" i="86"/>
  <c r="M103" i="24"/>
  <c r="K103" i="24"/>
  <c r="I103" i="24"/>
  <c r="K102" i="24"/>
  <c r="I102" i="24"/>
  <c r="O7" i="7"/>
  <c r="M10" i="7"/>
  <c r="M9" i="7"/>
  <c r="O10" i="7"/>
  <c r="O9" i="7"/>
  <c r="K49" i="86"/>
  <c r="M47" i="86"/>
  <c r="M49" i="86"/>
  <c r="K48" i="86"/>
  <c r="M48" i="86"/>
  <c r="K47" i="86"/>
  <c r="I49" i="86"/>
  <c r="I48" i="86"/>
  <c r="I47" i="86"/>
  <c r="M35" i="102" l="1"/>
  <c r="M55" i="86" l="1"/>
  <c r="K55" i="86"/>
  <c r="I55" i="86"/>
  <c r="G72" i="86"/>
  <c r="K46" i="86"/>
  <c r="M46" i="86"/>
  <c r="I46" i="86"/>
  <c r="L46" i="86" s="1"/>
  <c r="K43" i="86"/>
  <c r="I43" i="86"/>
  <c r="O43" i="86" s="1"/>
  <c r="M98" i="24" l="1"/>
  <c r="M101" i="24"/>
  <c r="K101" i="24"/>
  <c r="M100" i="24"/>
  <c r="K100" i="24"/>
  <c r="M99" i="24"/>
  <c r="K99" i="24"/>
  <c r="K98" i="24"/>
  <c r="I101" i="24"/>
  <c r="I100" i="24"/>
  <c r="I99" i="24"/>
  <c r="I98" i="24"/>
  <c r="K9" i="30"/>
  <c r="I9" i="30"/>
  <c r="M26" i="14"/>
  <c r="O26" i="14"/>
  <c r="J26" i="14"/>
  <c r="K26" i="14" s="1"/>
  <c r="M32" i="86"/>
  <c r="O32" i="86"/>
  <c r="M81" i="24"/>
  <c r="O81" i="24"/>
  <c r="M23" i="86"/>
  <c r="O23" i="86"/>
  <c r="O12" i="14" l="1"/>
  <c r="G39" i="14"/>
  <c r="O25" i="14"/>
  <c r="M25" i="14"/>
  <c r="J25" i="14"/>
  <c r="K25" i="14" s="1"/>
  <c r="O24" i="14"/>
  <c r="M24" i="14"/>
  <c r="J24" i="14"/>
  <c r="K24" i="14"/>
  <c r="O23" i="14"/>
  <c r="M23" i="14"/>
  <c r="J23" i="14"/>
  <c r="K23" i="14" s="1"/>
  <c r="M35" i="86"/>
  <c r="O35" i="86"/>
  <c r="M22" i="14"/>
  <c r="O22" i="14"/>
  <c r="J22" i="14"/>
  <c r="K22" i="14"/>
  <c r="M21" i="14"/>
  <c r="O21" i="14"/>
  <c r="J21" i="14"/>
  <c r="K21" i="14"/>
  <c r="M20" i="14"/>
  <c r="O20" i="14"/>
  <c r="J20" i="14"/>
  <c r="K20" i="14"/>
  <c r="O19" i="14"/>
  <c r="M19" i="14"/>
  <c r="J19" i="14"/>
  <c r="K19" i="14" s="1"/>
  <c r="M18" i="14"/>
  <c r="O18" i="14"/>
  <c r="J18" i="14"/>
  <c r="K18" i="14" s="1"/>
  <c r="O17" i="14"/>
  <c r="M17" i="14"/>
  <c r="J17" i="14"/>
  <c r="K17" i="14"/>
  <c r="M16" i="14"/>
  <c r="O16" i="14"/>
  <c r="J16" i="14"/>
  <c r="K16" i="14" s="1"/>
  <c r="O15" i="14"/>
  <c r="M15" i="14"/>
  <c r="J15" i="14"/>
  <c r="K15" i="14" s="1"/>
  <c r="O14" i="14"/>
  <c r="M14" i="14"/>
  <c r="J14" i="14"/>
  <c r="K14" i="14" s="1"/>
  <c r="O13" i="14" l="1"/>
  <c r="M13" i="14"/>
  <c r="J13" i="14"/>
  <c r="K13" i="14" s="1"/>
  <c r="M12" i="14"/>
  <c r="J12" i="14"/>
  <c r="K12" i="14" s="1"/>
  <c r="O8" i="86" l="1"/>
  <c r="M34" i="86"/>
  <c r="M80" i="24"/>
  <c r="O80" i="24"/>
  <c r="M36" i="86"/>
  <c r="O11" i="14"/>
  <c r="M11" i="14"/>
  <c r="K11" i="14"/>
  <c r="Q11" i="14" s="1"/>
  <c r="M41" i="86"/>
  <c r="K41" i="86"/>
  <c r="M38" i="86"/>
  <c r="K38" i="86"/>
  <c r="K36" i="86"/>
  <c r="I41" i="86"/>
  <c r="I38" i="86"/>
  <c r="I36" i="86"/>
  <c r="M94" i="24"/>
  <c r="M45" i="86"/>
  <c r="K45" i="86"/>
  <c r="I45" i="86"/>
  <c r="K95" i="24"/>
  <c r="M95" i="24"/>
  <c r="K96" i="24"/>
  <c r="M96" i="24"/>
  <c r="K97" i="24"/>
  <c r="M97" i="24"/>
  <c r="K94" i="24"/>
  <c r="I97" i="24"/>
  <c r="I96" i="24"/>
  <c r="I95" i="24"/>
  <c r="I94" i="24"/>
  <c r="O25" i="86"/>
  <c r="M25" i="86"/>
  <c r="M7" i="7"/>
  <c r="M30" i="86"/>
  <c r="O24" i="12"/>
  <c r="M24" i="12"/>
  <c r="O16" i="12"/>
  <c r="M16" i="12"/>
  <c r="L82" i="104"/>
  <c r="O79" i="24"/>
  <c r="M79" i="24"/>
  <c r="O10" i="12"/>
  <c r="M10" i="12"/>
  <c r="O89" i="24"/>
  <c r="M15" i="18"/>
  <c r="O15" i="18"/>
  <c r="O11" i="18"/>
  <c r="M11" i="18"/>
  <c r="M91" i="24"/>
  <c r="O55" i="24"/>
  <c r="M55" i="24"/>
  <c r="O27" i="24"/>
  <c r="M27" i="24"/>
  <c r="M8" i="19" l="1"/>
  <c r="O8" i="18"/>
  <c r="L88" i="104"/>
  <c r="M8" i="18"/>
  <c r="O7" i="12"/>
  <c r="M7" i="12"/>
  <c r="O11" i="12"/>
  <c r="M11" i="12"/>
  <c r="O20" i="24"/>
  <c r="M20" i="24"/>
  <c r="M7" i="19"/>
  <c r="M30" i="24"/>
  <c r="K93" i="24" l="1"/>
  <c r="I93" i="24"/>
  <c r="K35" i="86"/>
  <c r="O8" i="19"/>
  <c r="O7" i="19"/>
  <c r="M7" i="30"/>
  <c r="O7" i="30"/>
  <c r="O39" i="24"/>
  <c r="M39" i="24"/>
  <c r="O9" i="18"/>
  <c r="M22" i="24"/>
  <c r="O22" i="24"/>
  <c r="O16" i="24"/>
  <c r="M16" i="24"/>
  <c r="K91" i="24"/>
  <c r="I91" i="24"/>
  <c r="O91" i="24" s="1"/>
  <c r="M90" i="24"/>
  <c r="K90" i="24"/>
  <c r="I90" i="24"/>
  <c r="O90" i="24" s="1"/>
  <c r="M10" i="86"/>
  <c r="O10" i="86"/>
  <c r="M84" i="24"/>
  <c r="M33" i="86"/>
  <c r="K34" i="86"/>
  <c r="K33" i="86"/>
  <c r="I34" i="86"/>
  <c r="O34" i="86" s="1"/>
  <c r="I33" i="86"/>
  <c r="M11" i="24"/>
  <c r="O11" i="24"/>
  <c r="L78" i="104"/>
  <c r="L76" i="104"/>
  <c r="M9" i="86"/>
  <c r="M22" i="19" l="1"/>
  <c r="O22" i="19"/>
  <c r="M19" i="24"/>
  <c r="O19" i="24"/>
  <c r="O77" i="24"/>
  <c r="M77" i="24"/>
  <c r="M7" i="44"/>
  <c r="O7" i="44"/>
  <c r="O15" i="24"/>
  <c r="M15" i="24"/>
  <c r="K30" i="86"/>
  <c r="K31" i="86"/>
  <c r="K32" i="86"/>
  <c r="I31" i="86"/>
  <c r="I32" i="86"/>
  <c r="I30" i="86"/>
  <c r="O30" i="86" s="1"/>
  <c r="O11" i="86"/>
  <c r="M11" i="86"/>
  <c r="M10" i="18"/>
  <c r="O10" i="18"/>
  <c r="M12" i="18"/>
  <c r="O12" i="18"/>
  <c r="K89" i="24"/>
  <c r="M89" i="24"/>
  <c r="O7" i="4"/>
  <c r="M26" i="24"/>
  <c r="O26" i="24"/>
  <c r="K29" i="86"/>
  <c r="I29" i="86"/>
  <c r="L29" i="86" s="1"/>
  <c r="O29" i="86" s="1"/>
  <c r="M13" i="12"/>
  <c r="O13" i="12"/>
  <c r="M73" i="24"/>
  <c r="O8" i="30"/>
  <c r="M8" i="30"/>
  <c r="M27" i="86"/>
  <c r="K27" i="86"/>
  <c r="I27" i="86"/>
  <c r="L27" i="86" s="1"/>
  <c r="O32" i="24"/>
  <c r="M9" i="19"/>
  <c r="M48" i="24"/>
  <c r="O7" i="21"/>
  <c r="O9" i="19"/>
  <c r="O76" i="24" l="1"/>
  <c r="O9" i="24"/>
  <c r="M88" i="24"/>
  <c r="K88" i="24"/>
  <c r="H62" i="86"/>
  <c r="M10" i="24"/>
  <c r="O10" i="24"/>
  <c r="K85" i="24"/>
  <c r="K84" i="24"/>
  <c r="I85" i="24"/>
  <c r="I84" i="24"/>
  <c r="O84" i="24" s="1"/>
  <c r="M82" i="24"/>
  <c r="K83" i="24"/>
  <c r="K82" i="24"/>
  <c r="I83" i="24"/>
  <c r="I82" i="24"/>
  <c r="M23" i="24"/>
  <c r="O24" i="24"/>
  <c r="O12" i="24"/>
  <c r="M12" i="24"/>
  <c r="M68" i="24"/>
  <c r="K10" i="7" l="1"/>
  <c r="I10" i="7"/>
  <c r="M42" i="24"/>
  <c r="K81" i="24"/>
  <c r="I81" i="24"/>
  <c r="K80" i="24"/>
  <c r="I80" i="24"/>
  <c r="K78" i="24"/>
  <c r="I78" i="24"/>
  <c r="K9" i="7"/>
  <c r="I9" i="7"/>
  <c r="K87" i="24"/>
  <c r="I87" i="24"/>
  <c r="K86" i="24"/>
  <c r="I86" i="24"/>
  <c r="K74" i="24"/>
  <c r="I74" i="24"/>
  <c r="M76" i="24"/>
  <c r="K73" i="24"/>
  <c r="I73" i="24"/>
  <c r="O73" i="24" s="1"/>
  <c r="M72" i="24"/>
  <c r="K72" i="24"/>
  <c r="I72" i="24"/>
  <c r="M44" i="24"/>
  <c r="O44" i="24"/>
  <c r="K97" i="104"/>
  <c r="M28" i="24"/>
  <c r="O28" i="24"/>
  <c r="G99" i="104"/>
  <c r="K96" i="104"/>
  <c r="K69" i="24"/>
  <c r="M69" i="24"/>
  <c r="I69" i="24"/>
  <c r="O69" i="24" s="1"/>
  <c r="K68" i="24"/>
  <c r="K67" i="24"/>
  <c r="I68" i="24"/>
  <c r="O68" i="24" s="1"/>
  <c r="I67" i="24"/>
  <c r="M66" i="24"/>
  <c r="M64" i="24"/>
  <c r="M63" i="24"/>
  <c r="K66" i="24"/>
  <c r="K64" i="24"/>
  <c r="K63" i="24"/>
  <c r="I66" i="24"/>
  <c r="O66" i="24" s="1"/>
  <c r="I64" i="24"/>
  <c r="O64" i="24" s="1"/>
  <c r="I63" i="24"/>
  <c r="O63" i="24" s="1"/>
  <c r="M20" i="86"/>
  <c r="M75" i="24"/>
  <c r="O75" i="24"/>
  <c r="O14" i="24"/>
  <c r="O31" i="24"/>
  <c r="M25" i="24"/>
  <c r="M31" i="24"/>
  <c r="O25" i="24"/>
  <c r="K95" i="104"/>
  <c r="M62" i="24"/>
  <c r="K62" i="24"/>
  <c r="I62" i="24"/>
  <c r="O62" i="24" s="1"/>
  <c r="M60" i="24"/>
  <c r="K60" i="24"/>
  <c r="I60" i="24"/>
  <c r="O60" i="24" s="1"/>
  <c r="K57" i="24"/>
  <c r="I57" i="24"/>
  <c r="M17" i="24"/>
  <c r="O17" i="24"/>
  <c r="M52" i="24"/>
  <c r="K55" i="24"/>
  <c r="I55" i="24"/>
  <c r="M71" i="24"/>
  <c r="K71" i="24"/>
  <c r="I71" i="24"/>
  <c r="O71" i="24" s="1"/>
  <c r="O10" i="14"/>
  <c r="M10" i="14"/>
  <c r="J10" i="14"/>
  <c r="K10" i="14" s="1"/>
  <c r="Q10" i="14" s="1"/>
  <c r="Q9" i="14"/>
  <c r="O7" i="24"/>
  <c r="M44" i="86"/>
  <c r="K44" i="86"/>
  <c r="I44" i="86"/>
  <c r="O44" i="86" s="1"/>
  <c r="M51" i="24"/>
  <c r="K42" i="86"/>
  <c r="I42" i="86"/>
  <c r="M54" i="24"/>
  <c r="K54" i="24"/>
  <c r="K52" i="24"/>
  <c r="K51" i="24"/>
  <c r="I54" i="24"/>
  <c r="O54" i="24" s="1"/>
  <c r="I52" i="24"/>
  <c r="O52" i="24" s="1"/>
  <c r="I51" i="24"/>
  <c r="O51" i="24" s="1"/>
  <c r="O37" i="24"/>
  <c r="O23" i="24"/>
  <c r="K50" i="24"/>
  <c r="K25" i="86"/>
  <c r="I25" i="86"/>
  <c r="K23" i="86"/>
  <c r="I23" i="86"/>
  <c r="I50" i="24"/>
  <c r="M7" i="18"/>
  <c r="O7" i="18"/>
  <c r="M13" i="19"/>
  <c r="O13" i="19"/>
  <c r="O13" i="24" l="1"/>
  <c r="M11" i="19"/>
  <c r="O11" i="19"/>
  <c r="K20" i="86" l="1"/>
  <c r="I20" i="86"/>
  <c r="O20" i="86" s="1"/>
  <c r="K48" i="24" l="1"/>
  <c r="I48" i="24"/>
  <c r="O48" i="24" s="1"/>
  <c r="M49" i="24"/>
  <c r="K49" i="24"/>
  <c r="I49" i="24"/>
  <c r="O49" i="24" s="1"/>
  <c r="M47" i="24"/>
  <c r="K47" i="24"/>
  <c r="I47" i="24"/>
  <c r="O47" i="24" s="1"/>
  <c r="K13" i="86"/>
  <c r="K11" i="86"/>
  <c r="I11" i="86"/>
  <c r="M7" i="86"/>
  <c r="K8" i="86"/>
  <c r="M8" i="86"/>
  <c r="K9" i="86"/>
  <c r="K10" i="86"/>
  <c r="K7" i="86"/>
  <c r="I8" i="86"/>
  <c r="I9" i="86"/>
  <c r="L9" i="86" s="1"/>
  <c r="O9" i="86" s="1"/>
  <c r="I10" i="86"/>
  <c r="I7" i="86"/>
  <c r="I62" i="86" l="1"/>
  <c r="H64" i="86" s="1"/>
  <c r="O7" i="86"/>
  <c r="O9" i="14"/>
  <c r="M9" i="14"/>
  <c r="J9" i="14"/>
  <c r="K7" i="77"/>
  <c r="I7" i="77"/>
  <c r="G34" i="19"/>
  <c r="K13" i="19"/>
  <c r="I13" i="19"/>
  <c r="M8" i="7"/>
  <c r="K8" i="7"/>
  <c r="I8" i="7"/>
  <c r="O8" i="7" s="1"/>
  <c r="K7" i="7"/>
  <c r="I7" i="7"/>
  <c r="K89" i="104"/>
  <c r="K87" i="104" l="1"/>
  <c r="E29" i="5"/>
  <c r="M26" i="104"/>
  <c r="M25" i="104"/>
  <c r="M24" i="104"/>
  <c r="M22" i="104"/>
  <c r="M19" i="104"/>
  <c r="M18" i="104"/>
  <c r="M17" i="104"/>
  <c r="M16" i="104"/>
  <c r="M15" i="104"/>
  <c r="M14" i="104"/>
  <c r="M12" i="104"/>
  <c r="M11" i="104"/>
  <c r="M7" i="104"/>
  <c r="M6" i="104"/>
  <c r="F27" i="5"/>
  <c r="H25" i="5"/>
  <c r="J88" i="104"/>
  <c r="K88" i="104"/>
  <c r="M46" i="24"/>
  <c r="K46" i="24"/>
  <c r="K44" i="24"/>
  <c r="I46" i="24"/>
  <c r="O46" i="24" s="1"/>
  <c r="I44" i="24"/>
  <c r="K15" i="18"/>
  <c r="I15" i="18" l="1"/>
  <c r="K14" i="18"/>
  <c r="I14" i="18"/>
  <c r="K79" i="24"/>
  <c r="K75" i="104"/>
  <c r="K76" i="104"/>
  <c r="K78" i="104"/>
  <c r="I8" i="30"/>
  <c r="I11" i="30" s="1"/>
  <c r="K8" i="30"/>
  <c r="M7" i="21"/>
  <c r="K7" i="21"/>
  <c r="I7" i="21"/>
  <c r="K16" i="12"/>
  <c r="I16" i="12"/>
  <c r="K24" i="12"/>
  <c r="I24" i="12"/>
  <c r="J26" i="104"/>
  <c r="J25" i="104"/>
  <c r="H28" i="12"/>
  <c r="K11" i="19"/>
  <c r="I11" i="19"/>
  <c r="K22" i="19"/>
  <c r="I22" i="19"/>
  <c r="K77" i="24"/>
  <c r="I77" i="24"/>
  <c r="K42" i="24"/>
  <c r="I42" i="24"/>
  <c r="O42" i="24" s="1"/>
  <c r="B4" i="93"/>
  <c r="K72" i="104"/>
  <c r="M76" i="104"/>
  <c r="G25" i="104"/>
  <c r="M41" i="24"/>
  <c r="K41" i="24"/>
  <c r="I41" i="24"/>
  <c r="O41" i="24" s="1"/>
  <c r="K39" i="24"/>
  <c r="I39" i="24"/>
  <c r="M38" i="24"/>
  <c r="K38" i="24"/>
  <c r="I38" i="24"/>
  <c r="O38" i="24" s="1"/>
  <c r="M37" i="24"/>
  <c r="K37" i="24"/>
  <c r="I37" i="24"/>
  <c r="K12" i="18"/>
  <c r="K11" i="18"/>
  <c r="K13" i="12"/>
  <c r="I13" i="12"/>
  <c r="J17" i="104"/>
  <c r="J22" i="104"/>
  <c r="J19" i="104"/>
  <c r="J15" i="104"/>
  <c r="J12" i="104"/>
  <c r="J11" i="104"/>
  <c r="J14" i="104"/>
  <c r="J16" i="104"/>
  <c r="M32" i="24" l="1"/>
  <c r="K32" i="24"/>
  <c r="I32" i="24"/>
  <c r="K31" i="24"/>
  <c r="I31" i="24"/>
  <c r="K30" i="24"/>
  <c r="I30" i="24"/>
  <c r="K28" i="24"/>
  <c r="I28" i="24"/>
  <c r="K27" i="24"/>
  <c r="I27" i="24"/>
  <c r="K26" i="24"/>
  <c r="K10" i="18"/>
  <c r="I10" i="18"/>
  <c r="K11" i="12"/>
  <c r="K23" i="24"/>
  <c r="K24" i="24"/>
  <c r="M24" i="24"/>
  <c r="K25" i="24"/>
  <c r="K22" i="24"/>
  <c r="I23" i="24"/>
  <c r="I24" i="24"/>
  <c r="I25" i="24"/>
  <c r="I22" i="24"/>
  <c r="K9" i="19"/>
  <c r="I9" i="19"/>
  <c r="M9" i="18"/>
  <c r="K9" i="18"/>
  <c r="I9" i="18"/>
  <c r="K10" i="12"/>
  <c r="I10" i="12"/>
  <c r="O30" i="24" l="1"/>
  <c r="O107" i="24" s="1"/>
  <c r="K76" i="24"/>
  <c r="I76" i="24"/>
  <c r="K20" i="24"/>
  <c r="I20" i="24"/>
  <c r="K19" i="24"/>
  <c r="I19" i="24"/>
  <c r="K17" i="24"/>
  <c r="I17" i="24"/>
  <c r="K16" i="24"/>
  <c r="I16" i="24"/>
  <c r="K15" i="24"/>
  <c r="I15" i="24"/>
  <c r="K8" i="19"/>
  <c r="I8" i="19"/>
  <c r="K8" i="18"/>
  <c r="I8" i="18"/>
  <c r="K75" i="24"/>
  <c r="I75" i="24"/>
  <c r="M14" i="24"/>
  <c r="I14" i="24"/>
  <c r="K14" i="24"/>
  <c r="I11" i="24"/>
  <c r="K11" i="24"/>
  <c r="I12" i="24"/>
  <c r="K12" i="24"/>
  <c r="I13" i="24"/>
  <c r="K13" i="24"/>
  <c r="M13" i="24"/>
  <c r="K10" i="24"/>
  <c r="I10" i="24"/>
  <c r="K7" i="19"/>
  <c r="I7" i="19"/>
  <c r="K7" i="44"/>
  <c r="K7" i="12"/>
  <c r="G11" i="104"/>
  <c r="G12" i="104"/>
  <c r="G13" i="104"/>
  <c r="G14" i="104"/>
  <c r="G15" i="104"/>
  <c r="G16" i="104"/>
  <c r="G17" i="104"/>
  <c r="G18" i="104"/>
  <c r="G19" i="104"/>
  <c r="G22" i="104"/>
  <c r="G23" i="104"/>
  <c r="G24" i="104"/>
  <c r="I107" i="24" l="1"/>
  <c r="K7" i="18"/>
  <c r="I7" i="18"/>
  <c r="K102" i="104" l="1"/>
  <c r="M7" i="24"/>
  <c r="M9" i="24"/>
  <c r="K9" i="24"/>
  <c r="K7" i="24"/>
  <c r="M7" i="4"/>
  <c r="K7" i="4"/>
  <c r="K7" i="30"/>
  <c r="B35" i="5" l="1"/>
  <c r="B34" i="5"/>
  <c r="C25" i="5"/>
  <c r="B5" i="93"/>
  <c r="B3" i="93"/>
  <c r="L67" i="104"/>
  <c r="J67" i="104"/>
  <c r="J99" i="104"/>
  <c r="L99" i="104"/>
  <c r="L104" i="104"/>
  <c r="J104" i="104"/>
  <c r="M102" i="104"/>
  <c r="M104" i="104" s="1"/>
  <c r="I102" i="104"/>
  <c r="G102" i="104"/>
  <c r="M97" i="104"/>
  <c r="I97" i="104"/>
  <c r="G97" i="104"/>
  <c r="M96" i="104"/>
  <c r="I96" i="104"/>
  <c r="M95" i="104"/>
  <c r="T95" i="104" s="1"/>
  <c r="I95" i="104"/>
  <c r="M94" i="104"/>
  <c r="T94" i="104" s="1"/>
  <c r="I94" i="104"/>
  <c r="M93" i="104"/>
  <c r="T93" i="104" s="1"/>
  <c r="I93" i="104"/>
  <c r="G93" i="104"/>
  <c r="M92" i="104"/>
  <c r="T92" i="104" s="1"/>
  <c r="I92" i="104"/>
  <c r="G92" i="104"/>
  <c r="M91" i="104"/>
  <c r="T91" i="104" s="1"/>
  <c r="I91" i="104"/>
  <c r="G91" i="104"/>
  <c r="M90" i="104"/>
  <c r="T90" i="104" s="1"/>
  <c r="I90" i="104"/>
  <c r="G90" i="104"/>
  <c r="M89" i="104"/>
  <c r="T89" i="104" s="1"/>
  <c r="I89" i="104"/>
  <c r="G89" i="104"/>
  <c r="M88" i="104"/>
  <c r="T88" i="104" s="1"/>
  <c r="I88" i="104"/>
  <c r="G88" i="104"/>
  <c r="M87" i="104"/>
  <c r="I87" i="104"/>
  <c r="M86" i="104"/>
  <c r="T86" i="104" s="1"/>
  <c r="I86" i="104"/>
  <c r="G86" i="104"/>
  <c r="M85" i="104"/>
  <c r="T85" i="104" s="1"/>
  <c r="I85" i="104"/>
  <c r="M84" i="104"/>
  <c r="T84" i="104" s="1"/>
  <c r="I84" i="104"/>
  <c r="M83" i="104"/>
  <c r="T83" i="104" s="1"/>
  <c r="I83" i="104"/>
  <c r="M82" i="104"/>
  <c r="T82" i="104" s="1"/>
  <c r="I82" i="104"/>
  <c r="M81" i="104"/>
  <c r="T81" i="104" s="1"/>
  <c r="I81" i="104"/>
  <c r="M80" i="104"/>
  <c r="T80" i="104" s="1"/>
  <c r="I80" i="104"/>
  <c r="M79" i="104"/>
  <c r="T79" i="104" s="1"/>
  <c r="I79" i="104"/>
  <c r="M78" i="104"/>
  <c r="T78" i="104" s="1"/>
  <c r="I78" i="104"/>
  <c r="G78" i="104"/>
  <c r="M77" i="104"/>
  <c r="T77" i="104" s="1"/>
  <c r="I77" i="104"/>
  <c r="G77" i="104"/>
  <c r="I76" i="104"/>
  <c r="G76" i="104"/>
  <c r="J76" i="104" s="1"/>
  <c r="M75" i="104"/>
  <c r="T75" i="104" s="1"/>
  <c r="I75" i="104"/>
  <c r="M74" i="104"/>
  <c r="T74" i="104" s="1"/>
  <c r="I74" i="104"/>
  <c r="M73" i="104"/>
  <c r="T73" i="104" s="1"/>
  <c r="K73" i="104"/>
  <c r="I73" i="104"/>
  <c r="M72" i="104"/>
  <c r="I72" i="104"/>
  <c r="M71" i="104"/>
  <c r="I71" i="104"/>
  <c r="M70" i="104"/>
  <c r="I70" i="104"/>
  <c r="M65" i="104"/>
  <c r="K65" i="104"/>
  <c r="I65" i="104"/>
  <c r="M64" i="104"/>
  <c r="T64" i="104" s="1"/>
  <c r="I64" i="104"/>
  <c r="G64" i="104"/>
  <c r="M63" i="104"/>
  <c r="T63" i="104" s="1"/>
  <c r="I63" i="104"/>
  <c r="G63" i="104"/>
  <c r="T62" i="104"/>
  <c r="M62" i="104"/>
  <c r="I62" i="104"/>
  <c r="G62" i="104"/>
  <c r="M61" i="104"/>
  <c r="T61" i="104" s="1"/>
  <c r="I61" i="104"/>
  <c r="G61" i="104"/>
  <c r="M60" i="104"/>
  <c r="T60" i="104" s="1"/>
  <c r="I60" i="104"/>
  <c r="G60" i="104"/>
  <c r="M59" i="104"/>
  <c r="I59" i="104"/>
  <c r="G59" i="104"/>
  <c r="J58" i="104"/>
  <c r="M58" i="104" s="1"/>
  <c r="T58" i="104" s="1"/>
  <c r="I58" i="104"/>
  <c r="G58" i="104"/>
  <c r="M57" i="104"/>
  <c r="T57" i="104" s="1"/>
  <c r="I57" i="104"/>
  <c r="G57" i="104"/>
  <c r="M56" i="104"/>
  <c r="T56" i="104" s="1"/>
  <c r="I56" i="104"/>
  <c r="G56" i="104"/>
  <c r="T55" i="104"/>
  <c r="M55" i="104"/>
  <c r="I55" i="104"/>
  <c r="G55" i="104"/>
  <c r="M54" i="104"/>
  <c r="T54" i="104" s="1"/>
  <c r="I54" i="104"/>
  <c r="G54" i="104"/>
  <c r="M53" i="104"/>
  <c r="T53" i="104" s="1"/>
  <c r="I53" i="104"/>
  <c r="G53" i="104"/>
  <c r="M52" i="104"/>
  <c r="T52" i="104" s="1"/>
  <c r="I52" i="104"/>
  <c r="G52" i="104"/>
  <c r="M51" i="104"/>
  <c r="T51" i="104" s="1"/>
  <c r="I51" i="104"/>
  <c r="G51" i="104"/>
  <c r="M50" i="104"/>
  <c r="T50" i="104" s="1"/>
  <c r="I50" i="104"/>
  <c r="G50" i="104"/>
  <c r="M49" i="104"/>
  <c r="T49" i="104" s="1"/>
  <c r="I49" i="104"/>
  <c r="G49" i="104"/>
  <c r="M48" i="104"/>
  <c r="T48" i="104" s="1"/>
  <c r="I48" i="104"/>
  <c r="G48" i="104"/>
  <c r="M28" i="104"/>
  <c r="L28" i="104"/>
  <c r="J28" i="104"/>
  <c r="F28" i="104"/>
  <c r="J35" i="102"/>
  <c r="J43" i="105"/>
  <c r="M41" i="105"/>
  <c r="M40" i="105"/>
  <c r="T40" i="105" s="1"/>
  <c r="M39" i="105"/>
  <c r="T39" i="105" s="1"/>
  <c r="M38" i="105"/>
  <c r="T38" i="105" s="1"/>
  <c r="M37" i="105"/>
  <c r="T37" i="105" s="1"/>
  <c r="M36" i="105"/>
  <c r="T36" i="105" s="1"/>
  <c r="M35" i="105"/>
  <c r="T35" i="105" s="1"/>
  <c r="J32" i="105"/>
  <c r="M30" i="105"/>
  <c r="T30" i="105" s="1"/>
  <c r="M29" i="105"/>
  <c r="T29" i="105" s="1"/>
  <c r="M28" i="105"/>
  <c r="T28" i="105" s="1"/>
  <c r="M27" i="105"/>
  <c r="T27" i="105" s="1"/>
  <c r="T26" i="105"/>
  <c r="M25" i="105"/>
  <c r="T25" i="105" s="1"/>
  <c r="M24" i="105"/>
  <c r="T24" i="105" s="1"/>
  <c r="L16" i="105"/>
  <c r="F16" i="105"/>
  <c r="J14" i="105"/>
  <c r="M14" i="105" s="1"/>
  <c r="T14" i="105" s="1"/>
  <c r="M13" i="105"/>
  <c r="G13" i="105"/>
  <c r="M12" i="105"/>
  <c r="T12" i="105" s="1"/>
  <c r="G12" i="105"/>
  <c r="G11" i="105"/>
  <c r="J11" i="105" s="1"/>
  <c r="M10" i="105"/>
  <c r="T10" i="105" s="1"/>
  <c r="G10" i="105"/>
  <c r="M7" i="105"/>
  <c r="T7" i="105" s="1"/>
  <c r="G7" i="105"/>
  <c r="M6" i="105"/>
  <c r="G26" i="5" s="1"/>
  <c r="G6" i="105"/>
  <c r="T19" i="102"/>
  <c r="J32" i="102"/>
  <c r="L32" i="102"/>
  <c r="J27" i="102"/>
  <c r="M25" i="102"/>
  <c r="T25" i="102" s="1"/>
  <c r="M24" i="102"/>
  <c r="T24" i="102" s="1"/>
  <c r="M23" i="102"/>
  <c r="T23" i="102" s="1"/>
  <c r="J19" i="102"/>
  <c r="L19" i="102"/>
  <c r="L8" i="102"/>
  <c r="F8" i="102"/>
  <c r="G6" i="102"/>
  <c r="G8" i="102" s="1"/>
  <c r="H25" i="18"/>
  <c r="T59" i="104" l="1"/>
  <c r="T67" i="104" s="1"/>
  <c r="M67" i="104"/>
  <c r="I25" i="5"/>
  <c r="B25" i="5" s="1"/>
  <c r="T13" i="105"/>
  <c r="T102" i="104"/>
  <c r="T104" i="104" s="1"/>
  <c r="I27" i="5"/>
  <c r="T41" i="105"/>
  <c r="T43" i="105" s="1"/>
  <c r="H26" i="5"/>
  <c r="T72" i="104"/>
  <c r="G27" i="5"/>
  <c r="T87" i="104"/>
  <c r="H27" i="5"/>
  <c r="T70" i="104"/>
  <c r="T76" i="104"/>
  <c r="T71" i="104"/>
  <c r="C27" i="5"/>
  <c r="L43" i="105"/>
  <c r="L32" i="105"/>
  <c r="G16" i="105"/>
  <c r="M11" i="105"/>
  <c r="I26" i="5" s="1"/>
  <c r="J16" i="105"/>
  <c r="J46" i="105" s="1"/>
  <c r="T6" i="105"/>
  <c r="J6" i="102"/>
  <c r="J8" i="102" s="1"/>
  <c r="L27" i="102"/>
  <c r="T27" i="102"/>
  <c r="T35" i="102" s="1"/>
  <c r="M19" i="102"/>
  <c r="M27" i="102"/>
  <c r="M30" i="102"/>
  <c r="E8" i="5"/>
  <c r="H8" i="5"/>
  <c r="E1" i="18" s="1"/>
  <c r="C8" i="5"/>
  <c r="B8" i="5"/>
  <c r="H30" i="14"/>
  <c r="B27" i="93" l="1"/>
  <c r="B27" i="5"/>
  <c r="T99" i="104"/>
  <c r="M99" i="104"/>
  <c r="M107" i="104" s="1"/>
  <c r="T11" i="105"/>
  <c r="T16" i="105" s="1"/>
  <c r="M43" i="105"/>
  <c r="T32" i="105"/>
  <c r="M32" i="105"/>
  <c r="M16" i="105"/>
  <c r="M6" i="102"/>
  <c r="M8" i="102" s="1"/>
  <c r="M32" i="102"/>
  <c r="T30" i="102"/>
  <c r="T32" i="102" s="1"/>
  <c r="E1" i="74"/>
  <c r="T71" i="106"/>
  <c r="L71" i="106"/>
  <c r="J71" i="106"/>
  <c r="M71" i="106"/>
  <c r="M19" i="106"/>
  <c r="L19" i="106"/>
  <c r="J19" i="106"/>
  <c r="G19" i="106"/>
  <c r="C26" i="5" l="1"/>
  <c r="B26" i="5" s="1"/>
  <c r="M46" i="105"/>
  <c r="B50" i="93" s="1"/>
  <c r="T46" i="105"/>
  <c r="T6" i="102"/>
  <c r="T8" i="102" s="1"/>
  <c r="O62" i="86" l="1"/>
  <c r="N62" i="86"/>
  <c r="B14" i="93" s="1"/>
  <c r="L62" i="86"/>
  <c r="H26" i="19"/>
  <c r="I28" i="12" l="1"/>
  <c r="E1" i="73" l="1"/>
  <c r="E1" i="44"/>
  <c r="Q30" i="14"/>
  <c r="D5" i="93" l="1"/>
  <c r="N107" i="24" l="1"/>
  <c r="L107" i="24"/>
  <c r="O9" i="22"/>
  <c r="N9" i="22"/>
  <c r="L9" i="22"/>
  <c r="I9" i="22"/>
  <c r="H9" i="22"/>
  <c r="H11" i="21"/>
  <c r="O26" i="19"/>
  <c r="N26" i="19"/>
  <c r="L26" i="19"/>
  <c r="I26" i="19"/>
  <c r="H9" i="75"/>
  <c r="O28" i="12"/>
  <c r="N28" i="12"/>
  <c r="L28" i="12"/>
  <c r="O9" i="73"/>
  <c r="N9" i="73"/>
  <c r="L9" i="73"/>
  <c r="I9" i="73"/>
  <c r="H9" i="73"/>
  <c r="O10" i="4"/>
  <c r="N10" i="4"/>
  <c r="L10" i="4"/>
  <c r="I10" i="4"/>
  <c r="H10" i="4"/>
  <c r="P30" i="14"/>
  <c r="N30" i="14"/>
  <c r="K30" i="14"/>
  <c r="J30" i="14"/>
  <c r="H11" i="30"/>
  <c r="I8" i="5" l="1"/>
  <c r="P33" i="103" l="1"/>
  <c r="N33" i="103"/>
  <c r="J33" i="103" l="1"/>
  <c r="Q33" i="103"/>
  <c r="H35" i="103" l="1"/>
  <c r="N21" i="7" l="1"/>
  <c r="L21" i="7"/>
  <c r="I21" i="7"/>
  <c r="H21" i="7"/>
  <c r="O21" i="7" l="1"/>
  <c r="G37" i="12" l="1"/>
  <c r="G19" i="30" l="1"/>
  <c r="G17" i="78" l="1"/>
  <c r="G19" i="74"/>
  <c r="H10" i="74"/>
  <c r="G18" i="6"/>
  <c r="G18" i="4"/>
  <c r="G16" i="22" l="1"/>
  <c r="H11" i="22" l="1"/>
  <c r="H23" i="7" l="1"/>
  <c r="G18" i="21" l="1"/>
  <c r="O10" i="74" l="1"/>
  <c r="N10" i="74"/>
  <c r="L10" i="74"/>
  <c r="I10" i="74"/>
  <c r="H12" i="74" s="1"/>
  <c r="F8" i="5" l="1"/>
  <c r="H30" i="12" l="1"/>
  <c r="E1" i="77"/>
  <c r="E1" i="12"/>
  <c r="H32" i="12" s="1"/>
  <c r="E1" i="19"/>
  <c r="E1" i="27"/>
  <c r="E1" i="75"/>
  <c r="E1" i="22"/>
  <c r="H13" i="22" s="1"/>
  <c r="E1" i="21"/>
  <c r="E1" i="76"/>
  <c r="E1" i="78"/>
  <c r="N11" i="30" l="1"/>
  <c r="J18" i="5" l="1"/>
  <c r="J16" i="5"/>
  <c r="J14" i="5"/>
  <c r="J10" i="5"/>
  <c r="L11" i="30" l="1"/>
  <c r="H13" i="30" l="1"/>
  <c r="J12" i="5"/>
  <c r="J20" i="5"/>
  <c r="H32" i="14" l="1"/>
  <c r="O10" i="44" l="1"/>
  <c r="N10" i="44"/>
  <c r="L10" i="44"/>
  <c r="O11" i="30"/>
  <c r="O10" i="27" l="1"/>
  <c r="N10" i="27"/>
  <c r="L10" i="27"/>
  <c r="I10" i="27"/>
  <c r="H10" i="27"/>
  <c r="O10" i="77"/>
  <c r="N10" i="77"/>
  <c r="L10" i="77"/>
  <c r="O9" i="78"/>
  <c r="N9" i="78"/>
  <c r="L9" i="78"/>
  <c r="I9" i="78"/>
  <c r="H9" i="78"/>
  <c r="H13" i="73"/>
  <c r="O9" i="75"/>
  <c r="N9" i="75"/>
  <c r="L9" i="75"/>
  <c r="I9" i="75"/>
  <c r="H13" i="78" l="1"/>
  <c r="H11" i="73"/>
  <c r="H14" i="27"/>
  <c r="H11" i="78"/>
  <c r="H13" i="75"/>
  <c r="I18" i="5" l="1"/>
  <c r="I10" i="77" l="1"/>
  <c r="I25" i="18" l="1"/>
  <c r="I10" i="44"/>
  <c r="H14" i="44" s="1"/>
  <c r="H10" i="77" l="1"/>
  <c r="H10" i="44"/>
  <c r="H10" i="5" l="1"/>
  <c r="O9" i="76"/>
  <c r="N9" i="76"/>
  <c r="L9" i="76"/>
  <c r="I9" i="76"/>
  <c r="H9" i="76"/>
  <c r="N25" i="18"/>
  <c r="L25" i="18"/>
  <c r="I16" i="5"/>
  <c r="I14" i="5"/>
  <c r="H12" i="77"/>
  <c r="O11" i="21"/>
  <c r="H15" i="21" s="1"/>
  <c r="I11" i="21"/>
  <c r="H12" i="5" s="1"/>
  <c r="L11" i="21"/>
  <c r="N11" i="21"/>
  <c r="G14" i="5"/>
  <c r="F10" i="5"/>
  <c r="F14" i="5"/>
  <c r="H10" i="6"/>
  <c r="E10" i="5" s="1"/>
  <c r="I10" i="6"/>
  <c r="L10" i="6"/>
  <c r="E14" i="5" s="1"/>
  <c r="N10" i="6"/>
  <c r="H12" i="4"/>
  <c r="D14" i="5"/>
  <c r="C10" i="5"/>
  <c r="C14" i="5"/>
  <c r="B5" i="5"/>
  <c r="O10" i="6"/>
  <c r="H20" i="5" l="1"/>
  <c r="H16" i="5"/>
  <c r="H14" i="5"/>
  <c r="E18" i="5"/>
  <c r="H28" i="19"/>
  <c r="E12" i="5"/>
  <c r="E20" i="5" s="1"/>
  <c r="H13" i="76"/>
  <c r="D18" i="5"/>
  <c r="G16" i="5"/>
  <c r="F12" i="5"/>
  <c r="D10" i="5"/>
  <c r="G12" i="5"/>
  <c r="D12" i="5"/>
  <c r="F16" i="5"/>
  <c r="F18" i="5"/>
  <c r="C12" i="5"/>
  <c r="H12" i="27"/>
  <c r="H12" i="44"/>
  <c r="H11" i="76"/>
  <c r="G18" i="5"/>
  <c r="E16" i="5"/>
  <c r="H12" i="6"/>
  <c r="H11" i="75"/>
  <c r="C16" i="5"/>
  <c r="H13" i="21"/>
  <c r="H27" i="18"/>
  <c r="D16" i="5"/>
  <c r="O25" i="18"/>
  <c r="H29" i="18" s="1"/>
  <c r="E1" i="14"/>
  <c r="H34" i="14" s="1"/>
  <c r="G10" i="5"/>
  <c r="G8" i="5"/>
  <c r="D8" i="5"/>
  <c r="M2" i="14" l="1"/>
  <c r="N2" i="14" s="1"/>
  <c r="O2" i="14" s="1"/>
  <c r="C20" i="5"/>
  <c r="H18" i="5"/>
  <c r="M4" i="14"/>
  <c r="N4" i="14" s="1"/>
  <c r="O4" i="14" s="1"/>
  <c r="M3" i="14"/>
  <c r="N3" i="14" s="1"/>
  <c r="O3" i="14" s="1"/>
  <c r="B16" i="5"/>
  <c r="D20" i="5"/>
  <c r="F22" i="5"/>
  <c r="F29" i="5" s="1"/>
  <c r="E22" i="5"/>
  <c r="D22" i="5"/>
  <c r="D29" i="5" s="1"/>
  <c r="F20" i="5"/>
  <c r="G20" i="5"/>
  <c r="E1" i="6"/>
  <c r="H14" i="6" s="1"/>
  <c r="C18" i="5"/>
  <c r="C22" i="5" s="1"/>
  <c r="E1" i="24"/>
  <c r="H111" i="24" s="1"/>
  <c r="E1" i="30"/>
  <c r="H15" i="30" s="1"/>
  <c r="E1" i="7"/>
  <c r="H25" i="7" s="1"/>
  <c r="E1" i="4"/>
  <c r="H14" i="4" s="1"/>
  <c r="H22" i="5" l="1"/>
  <c r="H29" i="5" s="1"/>
  <c r="C29" i="5"/>
  <c r="B18" i="5"/>
  <c r="G22" i="5" l="1"/>
  <c r="G29" i="5" s="1"/>
  <c r="B14" i="5" l="1"/>
  <c r="H14" i="74"/>
  <c r="I10" i="5" l="1"/>
  <c r="B10" i="5" s="1"/>
  <c r="H109" i="24" l="1"/>
  <c r="I12" i="5"/>
  <c r="B12" i="5" s="1"/>
  <c r="I22" i="5" l="1"/>
  <c r="I29" i="5" s="1"/>
  <c r="I20" i="5"/>
  <c r="B20" i="5" s="1"/>
  <c r="H30" i="19" l="1"/>
  <c r="E1" i="86" s="1"/>
  <c r="H66" i="86" s="1"/>
  <c r="E1" i="103" l="1"/>
  <c r="H37" i="103" s="1"/>
  <c r="F22" i="106" s="1"/>
  <c r="B22" i="5" l="1"/>
  <c r="B29" i="5" s="1"/>
  <c r="J8" i="5"/>
  <c r="J22" i="5" s="1"/>
  <c r="G28" i="104"/>
  <c r="T107" i="104" l="1"/>
  <c r="F31" i="104"/>
  <c r="B51" i="93" s="1"/>
  <c r="B53" i="93" s="1"/>
  <c r="T31" i="104" l="1"/>
  <c r="J107" i="104"/>
</calcChain>
</file>

<file path=xl/sharedStrings.xml><?xml version="1.0" encoding="utf-8"?>
<sst xmlns="http://schemas.openxmlformats.org/spreadsheetml/2006/main" count="3855" uniqueCount="872">
  <si>
    <t xml:space="preserve">   STATE VOTED ISSUES</t>
  </si>
  <si>
    <t xml:space="preserve">    RESIDENTIAL RENTAL PROJECTS</t>
  </si>
  <si>
    <t xml:space="preserve">  </t>
  </si>
  <si>
    <t>IDBs</t>
  </si>
  <si>
    <t>CERTIFIED</t>
  </si>
  <si>
    <t>UPDATE</t>
  </si>
  <si>
    <t>TOTALS</t>
  </si>
  <si>
    <t xml:space="preserve"> </t>
  </si>
  <si>
    <t xml:space="preserve">RESERVED </t>
  </si>
  <si>
    <t>DATE</t>
  </si>
  <si>
    <t>Available</t>
  </si>
  <si>
    <t>REGION 7</t>
  </si>
  <si>
    <t>SUBCEILING #4</t>
  </si>
  <si>
    <t>TDHCA - MF</t>
  </si>
  <si>
    <t xml:space="preserve">RESERVATION </t>
  </si>
  <si>
    <t>TOTAL</t>
  </si>
  <si>
    <t>All Other</t>
  </si>
  <si>
    <t>LOT #</t>
  </si>
  <si>
    <t>DEADLINE</t>
  </si>
  <si>
    <t xml:space="preserve">TOTALS </t>
  </si>
  <si>
    <t>Local HFC's MF</t>
  </si>
  <si>
    <t>SUBCEILING #1</t>
  </si>
  <si>
    <t xml:space="preserve">RELEASE/ </t>
  </si>
  <si>
    <t>REQUESTED</t>
  </si>
  <si>
    <t xml:space="preserve">SUBCEILING #3 </t>
  </si>
  <si>
    <t>State Voted</t>
  </si>
  <si>
    <t>REGION 9</t>
  </si>
  <si>
    <t>ALLOCATION</t>
  </si>
  <si>
    <t>RELEASE/</t>
  </si>
  <si>
    <t>UNSATISFIED REQUESTS</t>
  </si>
  <si>
    <t xml:space="preserve">   ALL OTHER ISSUES</t>
  </si>
  <si>
    <t>ISSUER</t>
  </si>
  <si>
    <t>DOCKET#</t>
  </si>
  <si>
    <t>MRB's</t>
  </si>
  <si>
    <t>35-DAY</t>
  </si>
  <si>
    <t xml:space="preserve">    MORTGAGE REVENUE BONDS</t>
  </si>
  <si>
    <t xml:space="preserve"> QUALIFIED SMALL ISSUE </t>
  </si>
  <si>
    <t>STATUS</t>
  </si>
  <si>
    <t>UTILIZATION</t>
  </si>
  <si>
    <t>REGION 6</t>
  </si>
  <si>
    <t xml:space="preserve">    REGION 3</t>
  </si>
  <si>
    <t>REGION 10</t>
  </si>
  <si>
    <t>AMOUNT</t>
  </si>
  <si>
    <t>In-Line</t>
  </si>
  <si>
    <t>RELEASED</t>
  </si>
  <si>
    <t>LOCATION</t>
  </si>
  <si>
    <t>PERCENTAGE</t>
  </si>
  <si>
    <t xml:space="preserve">SUBCEILING #2 </t>
  </si>
  <si>
    <t>or</t>
  </si>
  <si>
    <t>PROJECT</t>
  </si>
  <si>
    <t>RESERVATIONS RELEASED</t>
  </si>
  <si>
    <t>ELIGIBLE</t>
  </si>
  <si>
    <t>TSAHC - MF</t>
  </si>
  <si>
    <t xml:space="preserve">   </t>
  </si>
  <si>
    <t xml:space="preserve"> RESERVED  </t>
  </si>
  <si>
    <t xml:space="preserve"> AMOUNT </t>
  </si>
  <si>
    <t>SC 1</t>
  </si>
  <si>
    <t>SC 2</t>
  </si>
  <si>
    <t>SC 3</t>
  </si>
  <si>
    <t>SC 4</t>
  </si>
  <si>
    <t>SC 5</t>
  </si>
  <si>
    <t>SC 6</t>
  </si>
  <si>
    <t>REGION 13</t>
  </si>
  <si>
    <t>CERTIFIED TO DATE</t>
  </si>
  <si>
    <t>RESERVATIONS TO DATE</t>
  </si>
  <si>
    <t>ALLOCATIONS TO DATE</t>
  </si>
  <si>
    <t>REGION 5</t>
  </si>
  <si>
    <t>ELIGIBLE REQUESTS TO DATE</t>
  </si>
  <si>
    <t>TDHCA - 33.34%</t>
  </si>
  <si>
    <t xml:space="preserve">    REGION 1</t>
  </si>
  <si>
    <t xml:space="preserve">    REGION 2</t>
  </si>
  <si>
    <t>REGION 4</t>
  </si>
  <si>
    <t>REGION 12</t>
  </si>
  <si>
    <t>REGION 11</t>
  </si>
  <si>
    <t>REGION 8</t>
  </si>
  <si>
    <t xml:space="preserve">Available </t>
  </si>
  <si>
    <t>TDHCA</t>
  </si>
  <si>
    <t>CF</t>
  </si>
  <si>
    <t>Dallas</t>
  </si>
  <si>
    <t>Austin</t>
  </si>
  <si>
    <t>Houston</t>
  </si>
  <si>
    <t>San Antonio</t>
  </si>
  <si>
    <t>El Paso</t>
  </si>
  <si>
    <t>Mission EDC</t>
  </si>
  <si>
    <t xml:space="preserve"> REQUESTED </t>
  </si>
  <si>
    <t xml:space="preserve"> DESIGNATED </t>
  </si>
  <si>
    <t>FEE</t>
  </si>
  <si>
    <t xml:space="preserve"> CERTIFIED </t>
  </si>
  <si>
    <t xml:space="preserve"> CLOSED </t>
  </si>
  <si>
    <t xml:space="preserve">CARRYFORWARD </t>
  </si>
  <si>
    <t>REMAINING</t>
  </si>
  <si>
    <t>Priority 6</t>
  </si>
  <si>
    <t xml:space="preserve"> ALLOCATION </t>
  </si>
  <si>
    <t>(NET)</t>
  </si>
  <si>
    <t>Residential Rental</t>
  </si>
  <si>
    <t>Fort Worth</t>
  </si>
  <si>
    <t>CONFIRMATION</t>
  </si>
  <si>
    <t>Tarrant County HFC</t>
  </si>
  <si>
    <t>Travis County HFC</t>
  </si>
  <si>
    <t>Submission</t>
  </si>
  <si>
    <t>Current Year Cap</t>
  </si>
  <si>
    <t>Carryforward to CY</t>
  </si>
  <si>
    <t>Total Capacity</t>
  </si>
  <si>
    <t>Mortgage Revenue Bonds</t>
  </si>
  <si>
    <t>CF used</t>
  </si>
  <si>
    <t>HERA CF Used</t>
  </si>
  <si>
    <t>Mortgage Credit Certificates</t>
  </si>
  <si>
    <t>Multifamily Housing</t>
  </si>
  <si>
    <t>Housing Not Broken out</t>
  </si>
  <si>
    <t>Exempt Facilities</t>
  </si>
  <si>
    <t>Student Loans</t>
  </si>
  <si>
    <t>State Voted Issues</t>
  </si>
  <si>
    <t>Current Year Abandonded</t>
  </si>
  <si>
    <t>Carryforward Expiring</t>
  </si>
  <si>
    <t>2002 CF</t>
  </si>
  <si>
    <t>2003 CF</t>
  </si>
  <si>
    <t>2004 CF</t>
  </si>
  <si>
    <t>2005 CF</t>
  </si>
  <si>
    <t>2006 CF</t>
  </si>
  <si>
    <t>2007 CF</t>
  </si>
  <si>
    <t>2008 CF</t>
  </si>
  <si>
    <t>2009 CF</t>
  </si>
  <si>
    <t>HERA Carryforward</t>
  </si>
  <si>
    <t>2010 CF</t>
  </si>
  <si>
    <t>2011 CF</t>
  </si>
  <si>
    <t>2012 CF</t>
  </si>
  <si>
    <t>2013 CF</t>
  </si>
  <si>
    <t>2014 CF</t>
  </si>
  <si>
    <t>CF to next year</t>
  </si>
  <si>
    <t>2002*</t>
  </si>
  <si>
    <t>2001*</t>
  </si>
  <si>
    <t xml:space="preserve"> $- </t>
  </si>
  <si>
    <t>Allocation</t>
  </si>
  <si>
    <t>CF Allocated</t>
  </si>
  <si>
    <t>HERA CF Allocated</t>
  </si>
  <si>
    <t>CF Available</t>
  </si>
  <si>
    <t>Total Allocated</t>
  </si>
  <si>
    <t>Current Year Volume Cap Check</t>
  </si>
  <si>
    <t>Carryforward Check</t>
  </si>
  <si>
    <t>CF ABANDONED</t>
  </si>
  <si>
    <t>Current Year</t>
  </si>
  <si>
    <t>Capital Area HFC</t>
  </si>
  <si>
    <t>San Marcos</t>
  </si>
  <si>
    <t>Austin HFC</t>
  </si>
  <si>
    <t>Alamito PFC</t>
  </si>
  <si>
    <t>2015 CF</t>
  </si>
  <si>
    <t>N/A</t>
  </si>
  <si>
    <t>2016 CF</t>
  </si>
  <si>
    <t>Wichita Falls</t>
  </si>
  <si>
    <t>Priority 5</t>
  </si>
  <si>
    <t>TSAHC</t>
  </si>
  <si>
    <t>2017 CF</t>
  </si>
  <si>
    <t>Statewide</t>
  </si>
  <si>
    <t>Las Varas PFC</t>
  </si>
  <si>
    <t>Amount Available for Traditional Carryforward</t>
  </si>
  <si>
    <t xml:space="preserve">210-DAY </t>
  </si>
  <si>
    <t xml:space="preserve">150-DAY </t>
  </si>
  <si>
    <t>180-DAY</t>
  </si>
  <si>
    <t>Texas Home Collaborative</t>
  </si>
  <si>
    <t>2019 CF</t>
  </si>
  <si>
    <t>March 1 Local Collapse</t>
  </si>
  <si>
    <t>Victory Street PFC</t>
  </si>
  <si>
    <t>2018 CF</t>
  </si>
  <si>
    <t>Pflugerville</t>
  </si>
  <si>
    <t>Arlington HFC</t>
  </si>
  <si>
    <t>Arlington</t>
  </si>
  <si>
    <t>Crystal Bend Apts</t>
  </si>
  <si>
    <t>Rowlett</t>
  </si>
  <si>
    <t>McKinney HFC</t>
  </si>
  <si>
    <t>McKinney</t>
  </si>
  <si>
    <t>2020 CF</t>
  </si>
  <si>
    <t>PRIORITY</t>
  </si>
  <si>
    <t>MF</t>
  </si>
  <si>
    <t>APP #</t>
  </si>
  <si>
    <t>Decker Lake Apartments</t>
  </si>
  <si>
    <t>CF Abandoned (2017)</t>
  </si>
  <si>
    <t>CF used (17/18/19)</t>
  </si>
  <si>
    <t>CF Available (18/19)</t>
  </si>
  <si>
    <t>2020NTCF</t>
  </si>
  <si>
    <t>2020TCF</t>
  </si>
  <si>
    <t>2020 Total CF</t>
  </si>
  <si>
    <t>2020 Allocation</t>
  </si>
  <si>
    <t>All 2020 Allocation</t>
  </si>
  <si>
    <t>All Available in 2020</t>
  </si>
  <si>
    <t>Collapse</t>
  </si>
  <si>
    <t>CLOSING</t>
  </si>
  <si>
    <t>Amount Available</t>
  </si>
  <si>
    <t>August 15th</t>
  </si>
  <si>
    <t>Manor Apartments</t>
  </si>
  <si>
    <t>Region 1</t>
  </si>
  <si>
    <t>Region 2</t>
  </si>
  <si>
    <t>Region 3</t>
  </si>
  <si>
    <t>Region 4</t>
  </si>
  <si>
    <t>Region 5</t>
  </si>
  <si>
    <t>Region 6</t>
  </si>
  <si>
    <t>Region 7</t>
  </si>
  <si>
    <t>Region 8</t>
  </si>
  <si>
    <t>Region 9</t>
  </si>
  <si>
    <t>Region 10</t>
  </si>
  <si>
    <t>Region 11</t>
  </si>
  <si>
    <t>Region 12</t>
  </si>
  <si>
    <t>Region 13</t>
  </si>
  <si>
    <t>Region</t>
  </si>
  <si>
    <t>Number</t>
  </si>
  <si>
    <t>Percentage based on</t>
  </si>
  <si>
    <t>2020 Population</t>
  </si>
  <si>
    <t>Reordered</t>
  </si>
  <si>
    <t xml:space="preserve"> LOT#</t>
  </si>
  <si>
    <t>Shifted</t>
  </si>
  <si>
    <t>1A</t>
  </si>
  <si>
    <t>1B</t>
  </si>
  <si>
    <t>Lubbock</t>
  </si>
  <si>
    <t>Panhandle Regional HFC</t>
  </si>
  <si>
    <t>Amarillo</t>
  </si>
  <si>
    <t>Garland</t>
  </si>
  <si>
    <t>Mesquite</t>
  </si>
  <si>
    <t>1C</t>
  </si>
  <si>
    <t>Pasadena</t>
  </si>
  <si>
    <t>Houston HFC</t>
  </si>
  <si>
    <t>Blanco Basin</t>
  </si>
  <si>
    <t>Decker Lake Apts</t>
  </si>
  <si>
    <t>Strategic HFC of Travis County</t>
  </si>
  <si>
    <t>Brownsville</t>
  </si>
  <si>
    <t>San Antonio Housing Trust PFC</t>
  </si>
  <si>
    <t>Freeport</t>
  </si>
  <si>
    <t>THF PFC</t>
  </si>
  <si>
    <t>Waco PFC II</t>
  </si>
  <si>
    <t>Shamrock EDC</t>
  </si>
  <si>
    <t>Ecolomondo Project</t>
  </si>
  <si>
    <t>Shamrock</t>
  </si>
  <si>
    <t>Humble</t>
  </si>
  <si>
    <t>SMHA Finance PFC</t>
  </si>
  <si>
    <t xml:space="preserve">Port Arthur </t>
  </si>
  <si>
    <t>Waco</t>
  </si>
  <si>
    <t>Trinity River PFC</t>
  </si>
  <si>
    <t>Ft. Worth</t>
  </si>
  <si>
    <t>Lakeside Place PFC</t>
  </si>
  <si>
    <t>Excluding Amts Reserved</t>
  </si>
  <si>
    <t>2021 CF</t>
  </si>
  <si>
    <t>2022 TRADITIONAL CARRYFORWARD</t>
  </si>
  <si>
    <t>22CF-002</t>
  </si>
  <si>
    <t>2/1D</t>
  </si>
  <si>
    <t>3/1D</t>
  </si>
  <si>
    <t>Harris County</t>
  </si>
  <si>
    <t>HFCs - 56.66%</t>
  </si>
  <si>
    <t>Set-Aside Amount</t>
  </si>
  <si>
    <t>Set-Aside until 8/7</t>
  </si>
  <si>
    <t>Fort Bend County</t>
  </si>
  <si>
    <t>QMBs/MCCs</t>
  </si>
  <si>
    <t>MCCs</t>
  </si>
  <si>
    <t>Remaining post-8/7</t>
  </si>
  <si>
    <t>Remaining pre-8/7</t>
  </si>
  <si>
    <t># OF</t>
  </si>
  <si>
    <t>UNITS</t>
  </si>
  <si>
    <t>APP</t>
  </si>
  <si>
    <t>SUBMISSION</t>
  </si>
  <si>
    <t>2022 NON TRADITIONAL CARRYFORWARD</t>
  </si>
  <si>
    <t>Amount Available for Unencumbered Requests</t>
  </si>
  <si>
    <t>ASSIGNED</t>
  </si>
  <si>
    <t>Priority 3</t>
  </si>
  <si>
    <t>CARRYFORWARD 2022</t>
  </si>
  <si>
    <t>2023 TRADITIONAL CARRYFORWARD</t>
  </si>
  <si>
    <t>2023 NON TRADITIONAL CARRYFORWARD</t>
  </si>
  <si>
    <t>2022 CF</t>
  </si>
  <si>
    <t>2/Non-1D</t>
  </si>
  <si>
    <t>Lubbock HFC</t>
  </si>
  <si>
    <t>Dallas (City of) HFC</t>
  </si>
  <si>
    <t>The Mesquite HFC</t>
  </si>
  <si>
    <t>The Southeast Texas HFC</t>
  </si>
  <si>
    <t>Harris County HFC</t>
  </si>
  <si>
    <t>Northside Village</t>
  </si>
  <si>
    <t>Georgetown</t>
  </si>
  <si>
    <t>3/Non-1D</t>
  </si>
  <si>
    <t>Midland County PFC</t>
  </si>
  <si>
    <t>Midland</t>
  </si>
  <si>
    <t>Taylor</t>
  </si>
  <si>
    <t>Austin Housing PFC</t>
  </si>
  <si>
    <t>Port Arthur ND IDC</t>
  </si>
  <si>
    <t>Austin Affordable PFC, Inc</t>
  </si>
  <si>
    <t>Creek Bend Apartment Homes</t>
  </si>
  <si>
    <t>Spring</t>
  </si>
  <si>
    <t>Willow Creek Manor</t>
  </si>
  <si>
    <t>Housing Options, Inc</t>
  </si>
  <si>
    <t>Bissonnet Apartments</t>
  </si>
  <si>
    <t>1.7% of the State Ceiling Limit</t>
  </si>
  <si>
    <t>3.4% of the State Ceiling Limit</t>
  </si>
  <si>
    <t>TENTATIVE</t>
  </si>
  <si>
    <t>TAX CREDIT EMAIL NOTIFICATION</t>
  </si>
  <si>
    <t>23CF-002</t>
  </si>
  <si>
    <t>23CF-005</t>
  </si>
  <si>
    <t>23CF-007</t>
  </si>
  <si>
    <t>Manor</t>
  </si>
  <si>
    <t>Airport Commerce Apts</t>
  </si>
  <si>
    <t>Aspire/Big Austin</t>
  </si>
  <si>
    <t>Shelby Trace Apts</t>
  </si>
  <si>
    <t>Seguin</t>
  </si>
  <si>
    <t>Residenital Rental</t>
  </si>
  <si>
    <t>Brownsville HFC (PFC formed under Ch 303 LGC)</t>
  </si>
  <si>
    <t xml:space="preserve">TSAHC - 10% </t>
  </si>
  <si>
    <t>Tarrant County</t>
  </si>
  <si>
    <t>SF MRBs/MCCs</t>
  </si>
  <si>
    <t>Counties of Ellis, Hunt, Kaufman, Navarro, Rockwall and the Cities of Cedar Hill, DeSoto, Duncanville, Lancaster and Waxahachie, Texas</t>
  </si>
  <si>
    <t>Single Family MRBs/MCCs, Series 2023</t>
  </si>
  <si>
    <t>The Texas counties of Bastrop, Blanco, Burnet, Caldwell, Fayette, Hays, Lee, Llano and Williamson and the Texas city of San Marcos.</t>
  </si>
  <si>
    <t>Grand Prairie</t>
  </si>
  <si>
    <t>2023 SF Mortgage Origination Program</t>
  </si>
  <si>
    <t>Travis County</t>
  </si>
  <si>
    <t>TDHCA (Assigned by Arlington HFC)</t>
  </si>
  <si>
    <t>TDHCA (Assigned by Travis County HFC)</t>
  </si>
  <si>
    <t>TDHCA (Assigned by Tarrant County HFC)</t>
  </si>
  <si>
    <t>TDHCA (Assigned by McKinney HFC)</t>
  </si>
  <si>
    <t>TDHCA (Assigned by Harris County HFC)</t>
  </si>
  <si>
    <t>TDHCA (Assigned by Fort Bend County HFC)</t>
  </si>
  <si>
    <t>TDHCA (Assigned by The Cameron County HFC)</t>
  </si>
  <si>
    <t>HHA Fountainview PFC</t>
  </si>
  <si>
    <t>TDHCA (Assigned by Grand Prairie HFC)</t>
  </si>
  <si>
    <t>TDHCA (Assigned by Capital Area HFC)</t>
  </si>
  <si>
    <t>Solid Waste Disposal Facilities</t>
  </si>
  <si>
    <t>TDHCA (Assigned by North Central Texas HFC)</t>
  </si>
  <si>
    <t>TDHCA (Assigned by City of Dallas HFC)</t>
  </si>
  <si>
    <t>Melissa</t>
  </si>
  <si>
    <t>23CF-012</t>
  </si>
  <si>
    <t>Houstin</t>
  </si>
  <si>
    <t>2024 TRADITIONAL CARRYFORWARD</t>
  </si>
  <si>
    <t>2024 UNENCUMBERED STATE CEILING REQUESTS</t>
  </si>
  <si>
    <t>2024 NON TRADITIONAL CARRYFORWARD</t>
  </si>
  <si>
    <t>2023 CF</t>
  </si>
  <si>
    <t>Against 2022 &amp; 2023 CF</t>
  </si>
  <si>
    <t>CARRYFORWARD 2023</t>
  </si>
  <si>
    <t>Independence Village</t>
  </si>
  <si>
    <t>Westmoreland Townhomes</t>
  </si>
  <si>
    <t>Tenison Lofts</t>
  </si>
  <si>
    <t>The Ridge at Loop 12</t>
  </si>
  <si>
    <t>HiLine Illinois</t>
  </si>
  <si>
    <t>Wildwood Branch Apartments</t>
  </si>
  <si>
    <t>Bay Terrace Apartments</t>
  </si>
  <si>
    <t>Baytown</t>
  </si>
  <si>
    <t>Baypointe Apartments</t>
  </si>
  <si>
    <t>Webster</t>
  </si>
  <si>
    <t>Piedmont Apartments</t>
  </si>
  <si>
    <t>Liberty Hill Apartments</t>
  </si>
  <si>
    <t>Liberty Hill</t>
  </si>
  <si>
    <t>The Buzz in Kyle Apartments</t>
  </si>
  <si>
    <t>Kyle</t>
  </si>
  <si>
    <t>Maxwell Hwy 21</t>
  </si>
  <si>
    <t>Riverstone Apartments</t>
  </si>
  <si>
    <t>5900 S. Pleasant Valley Apartments</t>
  </si>
  <si>
    <t>Huntington Place Senior Living Little Elm</t>
  </si>
  <si>
    <t>Little Elm</t>
  </si>
  <si>
    <t>Texarkana</t>
  </si>
  <si>
    <t>UW CMC LLC</t>
  </si>
  <si>
    <t>Escuela Nueva</t>
  </si>
  <si>
    <t>Waelder</t>
  </si>
  <si>
    <t>800 Middle Apartments</t>
  </si>
  <si>
    <t>Royal Crest Apartments</t>
  </si>
  <si>
    <t>Multi-site</t>
  </si>
  <si>
    <t>Cameron HiLine Apartments</t>
  </si>
  <si>
    <t>Fairlake Cove Apartments</t>
  </si>
  <si>
    <t>Huffman</t>
  </si>
  <si>
    <t>Pleasant Hill Village</t>
  </si>
  <si>
    <t>The Culbreath</t>
  </si>
  <si>
    <t>North Texas HEA</t>
  </si>
  <si>
    <t>Northland Woods Apartments</t>
  </si>
  <si>
    <t>Brittons Place</t>
  </si>
  <si>
    <t>Brazos HEA, Inc</t>
  </si>
  <si>
    <t>Sinton Development Corporation</t>
  </si>
  <si>
    <t>ECOR Global Solid Waste Disposal and Recycling Facility</t>
  </si>
  <si>
    <t>Sinton</t>
  </si>
  <si>
    <t>Reserve at Ella Apartments</t>
  </si>
  <si>
    <t>Melissa Family Apartments</t>
  </si>
  <si>
    <t>Maxwell</t>
  </si>
  <si>
    <t>Including Amts Reserved</t>
  </si>
  <si>
    <t>THECB</t>
  </si>
  <si>
    <t>Southeast Texas</t>
  </si>
  <si>
    <t>23CF-015</t>
  </si>
  <si>
    <t>23CF-016</t>
  </si>
  <si>
    <t>23CF-013</t>
  </si>
  <si>
    <t>South Mesa Hills Apts</t>
  </si>
  <si>
    <t>Harris County HA PFC</t>
  </si>
  <si>
    <t>24CF-001</t>
  </si>
  <si>
    <t>Augustine at Palo Alto Apts Phase I</t>
  </si>
  <si>
    <t>24CF-002</t>
  </si>
  <si>
    <t>San Antonio HT PFC</t>
  </si>
  <si>
    <t>Orion Apts</t>
  </si>
  <si>
    <t>24CF-003</t>
  </si>
  <si>
    <t>Augustine at Palo Alto Apts Phase II</t>
  </si>
  <si>
    <t>24CF-004</t>
  </si>
  <si>
    <t>Juniper Landing</t>
  </si>
  <si>
    <t>Texas City</t>
  </si>
  <si>
    <t>24CF-005</t>
  </si>
  <si>
    <t>WITHDRAWN</t>
  </si>
  <si>
    <t>CLOSED</t>
  </si>
  <si>
    <t>MRBs/MCCs</t>
  </si>
  <si>
    <t>Paradise Gardens</t>
  </si>
  <si>
    <t>Nortex HFC</t>
  </si>
  <si>
    <t>Sun Valley Apartments</t>
  </si>
  <si>
    <t>24CF-006</t>
  </si>
  <si>
    <t>Creek Bend Phase II Apt Homes</t>
  </si>
  <si>
    <t>Payton Gin Apartments</t>
  </si>
  <si>
    <t>Loyola Flats</t>
  </si>
  <si>
    <t>Rundberg Flats</t>
  </si>
  <si>
    <t>Recover Howard LLC Project</t>
  </si>
  <si>
    <t>Big Spring</t>
  </si>
  <si>
    <t>Riverbreeze Apartments</t>
  </si>
  <si>
    <t>24CF-007</t>
  </si>
  <si>
    <t>Bay Terrace Apts</t>
  </si>
  <si>
    <t>Taylor Farms</t>
  </si>
  <si>
    <t>Walnut Springs</t>
  </si>
  <si>
    <t>Parmer North Apartments</t>
  </si>
  <si>
    <t>The Aere at Easton Park</t>
  </si>
  <si>
    <t>El Paso HFC</t>
  </si>
  <si>
    <t>QMBs/MCCs 2024</t>
  </si>
  <si>
    <t>Cameron County</t>
  </si>
  <si>
    <t>Central Texas</t>
  </si>
  <si>
    <t>Single Family MRBs/MCCs, Series 2024</t>
  </si>
  <si>
    <t>QMBs/MCCs Series 2024</t>
  </si>
  <si>
    <t>Northeast Texas HFC</t>
  </si>
  <si>
    <t>Louetta Farms</t>
  </si>
  <si>
    <t>Seville Place Apartments</t>
  </si>
  <si>
    <t>La Porte</t>
  </si>
  <si>
    <t>Manchester Apartments</t>
  </si>
  <si>
    <t>Lakeway Apartments</t>
  </si>
  <si>
    <t>24CF-008</t>
  </si>
  <si>
    <t>Manor Apts</t>
  </si>
  <si>
    <t>Morningstar Square</t>
  </si>
  <si>
    <t>5249; $18,910,000</t>
  </si>
  <si>
    <t>24CF-009</t>
  </si>
  <si>
    <t>24CF-010</t>
  </si>
  <si>
    <t>Bristol at the Preserve Apts Phase I</t>
  </si>
  <si>
    <t>24CF-011</t>
  </si>
  <si>
    <t>Bristol at the Preserve Apts Phase II</t>
  </si>
  <si>
    <t>24CF-012</t>
  </si>
  <si>
    <t>Sunset Ridge Apts</t>
  </si>
  <si>
    <t>24CF-013</t>
  </si>
  <si>
    <t>Stones Crossing Apt Homes</t>
  </si>
  <si>
    <t>24CF-014</t>
  </si>
  <si>
    <t>Taylor Family - Phase I</t>
  </si>
  <si>
    <t>TDHCA (Assigned by Rowlett HFC)</t>
  </si>
  <si>
    <t>Independence Heights II</t>
  </si>
  <si>
    <t>Hughes House II</t>
  </si>
  <si>
    <t>Against 2024 CF</t>
  </si>
  <si>
    <t>24CF-015</t>
  </si>
  <si>
    <t>Creek Bend Apt Homes</t>
  </si>
  <si>
    <r>
      <t xml:space="preserve">STATUS OF </t>
    </r>
    <r>
      <rPr>
        <b/>
        <sz val="9"/>
        <rFont val="Times New Roman"/>
        <family val="1"/>
      </rPr>
      <t>2025</t>
    </r>
    <r>
      <rPr>
        <sz val="9"/>
        <rFont val="Times New Roman"/>
        <family val="1"/>
      </rPr>
      <t xml:space="preserve"> ALLOCATION PROGRAM AS OF - </t>
    </r>
  </si>
  <si>
    <t>Any amount returned after 11/15/2025 will go towards 2025 Traditional Carryforward Applications</t>
  </si>
  <si>
    <t>2025 TRADITIONAL CARRYFORWARD</t>
  </si>
  <si>
    <t>2025 UNENCUMBERED STATE CEILING REQUESTS</t>
  </si>
  <si>
    <t>2025 NON TRADITIONAL CARRYFORWARD</t>
  </si>
  <si>
    <t xml:space="preserve">2025 STATE CEILING </t>
  </si>
  <si>
    <t>CARRYFORWARD 2024</t>
  </si>
  <si>
    <t>CURRENT AVAILABLE ALLOCATION 2025</t>
  </si>
  <si>
    <t>CAL 2025/2026</t>
  </si>
  <si>
    <t>25-035</t>
  </si>
  <si>
    <t>25-117</t>
  </si>
  <si>
    <t>Hillcrest Manor Apartments</t>
  </si>
  <si>
    <t>25-116</t>
  </si>
  <si>
    <t>25-119</t>
  </si>
  <si>
    <t>25-076</t>
  </si>
  <si>
    <t>25-078</t>
  </si>
  <si>
    <t>25-107</t>
  </si>
  <si>
    <t>25-080</t>
  </si>
  <si>
    <t>25-083</t>
  </si>
  <si>
    <t>25-079</t>
  </si>
  <si>
    <t>25-085</t>
  </si>
  <si>
    <t>Rowlett HFC</t>
  </si>
  <si>
    <t>Lakeview Senior Living</t>
  </si>
  <si>
    <t>Torrington Briarwood</t>
  </si>
  <si>
    <t>The Enclave on Wheatland</t>
  </si>
  <si>
    <t>Denton County HFC</t>
  </si>
  <si>
    <t>Waters at Stone Creek</t>
  </si>
  <si>
    <t>Lewisville</t>
  </si>
  <si>
    <t>The Legacy on Kiest</t>
  </si>
  <si>
    <t>The Heights at Country Creek</t>
  </si>
  <si>
    <t>Palladium Buckner Station</t>
  </si>
  <si>
    <t>The Gateway at Trinity Forest</t>
  </si>
  <si>
    <t>The Legacy on Belt Line</t>
  </si>
  <si>
    <t>CF Hawn Apartments</t>
  </si>
  <si>
    <t>25-109</t>
  </si>
  <si>
    <t>25-081</t>
  </si>
  <si>
    <t>25-108</t>
  </si>
  <si>
    <t>Tuscany at Goldmark</t>
  </si>
  <si>
    <t>Torrington Davis</t>
  </si>
  <si>
    <t>Torrington Forest</t>
  </si>
  <si>
    <t>25-125</t>
  </si>
  <si>
    <t>25-049</t>
  </si>
  <si>
    <t>Town North Apartments</t>
  </si>
  <si>
    <t>25-055</t>
  </si>
  <si>
    <t>Jefferson County HFC</t>
  </si>
  <si>
    <t>Seville Apartments</t>
  </si>
  <si>
    <t>Beaumont</t>
  </si>
  <si>
    <t>Timbers Edge Apartments</t>
  </si>
  <si>
    <t>Alcott Village</t>
  </si>
  <si>
    <t>Sunflower Terrace Apartments</t>
  </si>
  <si>
    <t>Enclave at Cypress</t>
  </si>
  <si>
    <t>Cypress</t>
  </si>
  <si>
    <t>Wyndham Park</t>
  </si>
  <si>
    <t>Enclave at Katy</t>
  </si>
  <si>
    <t>Katy</t>
  </si>
  <si>
    <t>25-014</t>
  </si>
  <si>
    <t>25-013</t>
  </si>
  <si>
    <t>25-118</t>
  </si>
  <si>
    <t>25-084</t>
  </si>
  <si>
    <t>25-086</t>
  </si>
  <si>
    <t>25-090</t>
  </si>
  <si>
    <t>Enclave at Crosby</t>
  </si>
  <si>
    <t>Crosby</t>
  </si>
  <si>
    <t>Serenity Palms</t>
  </si>
  <si>
    <t>Hays Street Apartments</t>
  </si>
  <si>
    <t>Kangle Southern Gardens</t>
  </si>
  <si>
    <t>25-088</t>
  </si>
  <si>
    <t>25-045</t>
  </si>
  <si>
    <t>25-044</t>
  </si>
  <si>
    <t>Coolwood Oaks Apartments</t>
  </si>
  <si>
    <t>Haverstock East</t>
  </si>
  <si>
    <t>Haverstock West</t>
  </si>
  <si>
    <t>25-009</t>
  </si>
  <si>
    <t>25-017</t>
  </si>
  <si>
    <t>25-007</t>
  </si>
  <si>
    <t>25-019</t>
  </si>
  <si>
    <t>25-073</t>
  </si>
  <si>
    <t>25-074</t>
  </si>
  <si>
    <t>25-043</t>
  </si>
  <si>
    <t>25-072</t>
  </si>
  <si>
    <t>25-018</t>
  </si>
  <si>
    <t>25-103</t>
  </si>
  <si>
    <t>25-047</t>
  </si>
  <si>
    <t>25-032</t>
  </si>
  <si>
    <t>Branchview Apartments</t>
  </si>
  <si>
    <t>Huntington Place Senior Living Georgetown</t>
  </si>
  <si>
    <t>Caseybridge Seniors Apartments</t>
  </si>
  <si>
    <t>25-001</t>
  </si>
  <si>
    <t>25-031</t>
  </si>
  <si>
    <t>25-106</t>
  </si>
  <si>
    <t>25-105</t>
  </si>
  <si>
    <t>25-012</t>
  </si>
  <si>
    <t>25-029</t>
  </si>
  <si>
    <t>25-056</t>
  </si>
  <si>
    <t>25-064</t>
  </si>
  <si>
    <t>25-111</t>
  </si>
  <si>
    <t>25-040</t>
  </si>
  <si>
    <t>25-051</t>
  </si>
  <si>
    <t>25-050</t>
  </si>
  <si>
    <t>25-120</t>
  </si>
  <si>
    <t>25-101</t>
  </si>
  <si>
    <t>25-070</t>
  </si>
  <si>
    <t>25-102</t>
  </si>
  <si>
    <t>25-060</t>
  </si>
  <si>
    <t>25-122</t>
  </si>
  <si>
    <t>Project Wharton</t>
  </si>
  <si>
    <t>Wharton</t>
  </si>
  <si>
    <t>Tax-Exempt Student Loan Program Revenue Bonds</t>
  </si>
  <si>
    <t>Graphic Packaging International, LLC Series 2025</t>
  </si>
  <si>
    <t>Seaport Village</t>
  </si>
  <si>
    <t>Galveston</t>
  </si>
  <si>
    <t>Sienna Villas</t>
  </si>
  <si>
    <t>Brady Apartments</t>
  </si>
  <si>
    <t>Lancaster</t>
  </si>
  <si>
    <t>Regency Apartments</t>
  </si>
  <si>
    <t>Jackson Road Apartments</t>
  </si>
  <si>
    <t>McAllen</t>
  </si>
  <si>
    <t>NULL</t>
  </si>
  <si>
    <t>Lancaster Apartments</t>
  </si>
  <si>
    <t>Forest Creek Apartments</t>
  </si>
  <si>
    <t>Whisper Hill Apartments</t>
  </si>
  <si>
    <t>Bridge at Treeline Apartments</t>
  </si>
  <si>
    <t>Sugar Creek Apartments</t>
  </si>
  <si>
    <t>Village at Meadowbend</t>
  </si>
  <si>
    <t>Temple</t>
  </si>
  <si>
    <t>Port Lavaca Housing Management PFC</t>
  </si>
  <si>
    <t>Cottages on Independence</t>
  </si>
  <si>
    <t>Port Lavaca</t>
  </si>
  <si>
    <t>The Meadows</t>
  </si>
  <si>
    <t>Waste Management, Inc.</t>
  </si>
  <si>
    <t>Cinco PFC</t>
  </si>
  <si>
    <t>Marine Creek Apartments</t>
  </si>
  <si>
    <t>Waterwood Villas</t>
  </si>
  <si>
    <t>Richardson</t>
  </si>
  <si>
    <t>Idlewilde Apartments</t>
  </si>
  <si>
    <t>The Edge at Houston</t>
  </si>
  <si>
    <t>Covington Acres</t>
  </si>
  <si>
    <t>Keene</t>
  </si>
  <si>
    <t>Legacy Denton PFC</t>
  </si>
  <si>
    <t>Roselawn Village</t>
  </si>
  <si>
    <t>Denton</t>
  </si>
  <si>
    <t>Tax-Exempt Student Loan Program Revenue Bonds, Series 2025</t>
  </si>
  <si>
    <t>Sherman Farms</t>
  </si>
  <si>
    <t>Sherman</t>
  </si>
  <si>
    <t>Emberstone Apartments</t>
  </si>
  <si>
    <t>Little Elm Family Apartments</t>
  </si>
  <si>
    <t>Orion Apartments</t>
  </si>
  <si>
    <t>Pearsall Place Apartments</t>
  </si>
  <si>
    <t>Lakeside Lofts</t>
  </si>
  <si>
    <t>Panda High Plains Hemp Gin Holdings, LLC Series 2025</t>
  </si>
  <si>
    <t>Waterford at Spencer Oaks</t>
  </si>
  <si>
    <t>Galm Road Apartments</t>
  </si>
  <si>
    <t>Central at Commerce</t>
  </si>
  <si>
    <t>Sage Lofts</t>
  </si>
  <si>
    <t>Oak Hill Apartments</t>
  </si>
  <si>
    <t>Lofts at Creekview</t>
  </si>
  <si>
    <t>Maya Apartments</t>
  </si>
  <si>
    <t>Project Titania</t>
  </si>
  <si>
    <t>Stones Crossing Apartment Homes</t>
  </si>
  <si>
    <t>Lantana Grove</t>
  </si>
  <si>
    <t>Melody Grove II</t>
  </si>
  <si>
    <t>Fractal Polymers LLC</t>
  </si>
  <si>
    <t>Lafayette Apartments</t>
  </si>
  <si>
    <t>Morningside at the Meadows Apartments</t>
  </si>
  <si>
    <t>Sacred Heart Villa Apartments</t>
  </si>
  <si>
    <t>Judy at VIDA Apartments</t>
  </si>
  <si>
    <t>Taylor Family Phase I</t>
  </si>
  <si>
    <t>Permian Basin Water Resources, LLC Water &amp; Wastewater Facilities Expansion Project 2025</t>
  </si>
  <si>
    <t>The Fraley</t>
  </si>
  <si>
    <t>The Bloom at Lamar Square</t>
  </si>
  <si>
    <t>24CF-016</t>
  </si>
  <si>
    <t>24CF-017</t>
  </si>
  <si>
    <t>Braniff Lofts</t>
  </si>
  <si>
    <t>Travis County Facilities Corporation</t>
  </si>
  <si>
    <t>Belmont Apartments</t>
  </si>
  <si>
    <t>Commons at Acequia Trails Apartments</t>
  </si>
  <si>
    <t>2024 CF</t>
  </si>
  <si>
    <t>25CF-001</t>
  </si>
  <si>
    <t>25CF-002</t>
  </si>
  <si>
    <t>Ledgestone Apts</t>
  </si>
  <si>
    <t>Bexar M&amp;DC</t>
  </si>
  <si>
    <t>Lubbock Housing Opportunities Corp</t>
  </si>
  <si>
    <t>RESERVED</t>
  </si>
  <si>
    <t>**Tax Credit Email- 1/7/2025- withdrawn 1/6/2025</t>
  </si>
  <si>
    <t>**Tax Credit Email- 1/6/2025- received 1/7/2025</t>
  </si>
  <si>
    <t>**Tax Credit Email- 1/8/2025- withdrawn 1/9/2025</t>
  </si>
  <si>
    <t>**Tax Credit Email- 1/7/2025- received 1/9/2025</t>
  </si>
  <si>
    <t>**Tax Credit Email- 1/6/2025- received 1/9/2025</t>
  </si>
  <si>
    <t>**Tax Credit Email- 1/7/2025- received 1/10/2025</t>
  </si>
  <si>
    <t>2023CF (5081)</t>
  </si>
  <si>
    <t>2022CF(4903)</t>
  </si>
  <si>
    <t>2024CF (5199)</t>
  </si>
  <si>
    <t>Housing Options, Inc.</t>
  </si>
  <si>
    <t>**Tax Credit Email- 1/10/2025- withdrawn 1/10/2025</t>
  </si>
  <si>
    <t>**Tax Credit Email- 1/8/2025- received 1/13/2025</t>
  </si>
  <si>
    <t>**Tax Credit Email- 1/13/2025- withdrawn 1/13/2025</t>
  </si>
  <si>
    <t>**Tax Credit Email- 1/9/2025- received 1/14/2025</t>
  </si>
  <si>
    <t>**Tax Credit Email- 1/9/2025- withdrawn 1/14/2025</t>
  </si>
  <si>
    <t>**Tax Credit Email- 1/10/2025- received 1/15/2025</t>
  </si>
  <si>
    <t>**Tax Credit Email- 1/10/2025- withdrawn 1/15/2025</t>
  </si>
  <si>
    <t>**Tax Credit Email- 1/13/2025- received 1/16/2025</t>
  </si>
  <si>
    <t>**Tax Credit Email- 1/16/2025- withdrawn 1/16/2025</t>
  </si>
  <si>
    <t>Renaissance Square Apts III</t>
  </si>
  <si>
    <t>**Tax Credit Email- 1/16/2025- withdrawn 1/22/2025</t>
  </si>
  <si>
    <t>2024CF (5239)</t>
  </si>
  <si>
    <t>2024CF (5243)</t>
  </si>
  <si>
    <t>2024CF (5253)</t>
  </si>
  <si>
    <t>**Tax Credit Email- 1/16/2025- received 1/22/2025</t>
  </si>
  <si>
    <t>**Tax Credit Email- 1/17/2025- received 1/23/2025</t>
  </si>
  <si>
    <t>2024CF (5252)</t>
  </si>
  <si>
    <t>25-135</t>
  </si>
  <si>
    <t>The Heights at UNT Station</t>
  </si>
  <si>
    <t>25-136</t>
  </si>
  <si>
    <t>San Antonio HTFC</t>
  </si>
  <si>
    <t>**Tax Credit Email- 1/22/2025- received 1/27/2025</t>
  </si>
  <si>
    <t>2024CF (5247)</t>
  </si>
  <si>
    <t>**Tax Credit Email- 1/23/2025- received 1/28/2025</t>
  </si>
  <si>
    <t>Cairn Point Montopolis Apts</t>
  </si>
  <si>
    <t>5320; $23,500,000</t>
  </si>
  <si>
    <t>2024CF (5209)</t>
  </si>
  <si>
    <t>2024CF (5321)</t>
  </si>
  <si>
    <t>Excludes $162,000,000 of CF from 2023</t>
  </si>
  <si>
    <t>2024CF (5240)</t>
  </si>
  <si>
    <t>2024CF (5235)</t>
  </si>
  <si>
    <t>**Tax Credit Email- 2/12/2025- received 2/18/2025</t>
  </si>
  <si>
    <t>Excludes $18,910,000 of CF from 2023</t>
  </si>
  <si>
    <t>Fiji Lofts</t>
  </si>
  <si>
    <t>Murdeaux Villas</t>
  </si>
  <si>
    <t>The Cameron County HFC</t>
  </si>
  <si>
    <t>Palms Breeze Village</t>
  </si>
  <si>
    <t>**Tax Credit Email 2/25/2025- received 2/27/2025</t>
  </si>
  <si>
    <t>**Tax Credit Email 2/24/2025- received 2/27/2025</t>
  </si>
  <si>
    <t>**Tax Credit Email 2/24/2025- withdrawn 2/27/2025</t>
  </si>
  <si>
    <t>2024CF (5254)</t>
  </si>
  <si>
    <t>2024CF (5204 &amp; 5244)</t>
  </si>
  <si>
    <t>**Tax Credit Email 2/27/2025- see Local Collapse tab</t>
  </si>
  <si>
    <t>Pharr HFC</t>
  </si>
  <si>
    <t>Aster Villas Apartments</t>
  </si>
  <si>
    <t>Pharr</t>
  </si>
  <si>
    <t>Single Family QMB/MCC</t>
  </si>
  <si>
    <t>2024CF (5213)</t>
  </si>
  <si>
    <t>25-145</t>
  </si>
  <si>
    <t>Bexar County HFC</t>
  </si>
  <si>
    <t>Merida Apartments</t>
  </si>
  <si>
    <t>**Tax Credit Email 3/3/2025- received 3/4/2025</t>
  </si>
  <si>
    <t>**Tax Credit Email 2/27/2025- withdrawn 3/4/2025</t>
  </si>
  <si>
    <t>**Tax Credit Email 3/4/2025- withdrawn 3/4/2025</t>
  </si>
  <si>
    <t>**Tax Credit Email 3/4/2025- received 3/5/2025</t>
  </si>
  <si>
    <t>**Tax Credit Email 3/3/2025- received 3/6/2025</t>
  </si>
  <si>
    <t>2024CF (5233 &amp; 5236)</t>
  </si>
  <si>
    <t>**Tax Credit Email 3/4/2025- received 3/7/2025</t>
  </si>
  <si>
    <t>**Tax Credit Email 3/7/2025- withdrawn 3/12/2025</t>
  </si>
  <si>
    <t>**Tax Credit Email 3/10/2025- expired 3/14/2025</t>
  </si>
  <si>
    <t>**Tax Credit Email 3/13/2025- withdrawn 3/17/2025</t>
  </si>
  <si>
    <t>EXPIRED</t>
  </si>
  <si>
    <t>**Tax Credit Email 3/17/2025- withdrawn 3/20/2025</t>
  </si>
  <si>
    <t>**Tax Credit Email 3/17/2025- received 3/20/2025</t>
  </si>
  <si>
    <t>25-150</t>
  </si>
  <si>
    <t>Oak Timbers North Apartments</t>
  </si>
  <si>
    <t>25-151</t>
  </si>
  <si>
    <t>Oak Timbers South Apartments</t>
  </si>
  <si>
    <t>Shady Acres Bungalows</t>
  </si>
  <si>
    <t>Baraboo Hills</t>
  </si>
  <si>
    <t>**Tax Credit Email 3/21/2025- withdrawn 3/26/2025</t>
  </si>
  <si>
    <t>Sycamores at Pleasant Valley</t>
  </si>
  <si>
    <t>**Tax Credit Email 3/27/2025- withdrawn 4/1/2025</t>
  </si>
  <si>
    <t>2024CF (5238)</t>
  </si>
  <si>
    <t>Mill Stream Apt Homes</t>
  </si>
  <si>
    <t>5348; $2,000,000</t>
  </si>
  <si>
    <t>5330; $26,102,168.20</t>
  </si>
  <si>
    <t>2023CF (5058)</t>
  </si>
  <si>
    <t>**Site Control Email- 4/14/2025- received 4/15/2025</t>
  </si>
  <si>
    <t>**Site Control Email- 4/14/2025- withdrawn 4/15/2025</t>
  </si>
  <si>
    <t>Water Furnishing Facilities</t>
  </si>
  <si>
    <t>2024CF (5268)</t>
  </si>
  <si>
    <t>2024CF (5212)</t>
  </si>
  <si>
    <t>CANCELLED</t>
  </si>
  <si>
    <t>2024CF (5263)</t>
  </si>
  <si>
    <t>2023CF (23CF-012 &amp; 5091)</t>
  </si>
  <si>
    <t>Excludes $35,000,000 of CF from 2022</t>
  </si>
  <si>
    <t>Waters at Arrowood</t>
  </si>
  <si>
    <t>Excludes $52,000,000 of CF from 2023</t>
  </si>
  <si>
    <t>**Site Control Email- 5/7/2025- received 5/7/2025</t>
  </si>
  <si>
    <t>2022CF (5364)</t>
  </si>
  <si>
    <t>2023CF (5365)</t>
  </si>
  <si>
    <t>2024CF (5204 &amp; 5244 &amp; 5245)</t>
  </si>
  <si>
    <t>Waters at Waterchase</t>
  </si>
  <si>
    <t>**Site Control Email- 5/7/2025- received 5/12/2025</t>
  </si>
  <si>
    <t>Vinton Steel Project</t>
  </si>
  <si>
    <t>Vinton</t>
  </si>
  <si>
    <t>**Tax Credit Email 5/12/2025- received 5/15/2025</t>
  </si>
  <si>
    <t>2024CF (5246)</t>
  </si>
  <si>
    <t>5351; $25,000,000</t>
  </si>
  <si>
    <t>Humble Family Apartments</t>
  </si>
  <si>
    <t>25-170</t>
  </si>
  <si>
    <t>Denison Family Apts</t>
  </si>
  <si>
    <t>Denison</t>
  </si>
  <si>
    <t>**Tax Credit Email 6/3/2025- withdrawn 6/4/2025</t>
  </si>
  <si>
    <t>25CF-003</t>
  </si>
  <si>
    <t>Victoria HFC</t>
  </si>
  <si>
    <t>Odem Street Apartments</t>
  </si>
  <si>
    <t>Victoria</t>
  </si>
  <si>
    <t>The Ella Apartments</t>
  </si>
  <si>
    <t>Pleasanton PFC</t>
  </si>
  <si>
    <t>Main Street Apartments</t>
  </si>
  <si>
    <t>Pleasanton</t>
  </si>
  <si>
    <t>5314; $41,000,000 &amp; 5285; $9,000,000</t>
  </si>
  <si>
    <t>25-175</t>
  </si>
  <si>
    <t>25-176</t>
  </si>
  <si>
    <t>Evans &amp; Rosedale Urban Village</t>
  </si>
  <si>
    <t>25CF-004</t>
  </si>
  <si>
    <t>25-178</t>
  </si>
  <si>
    <t>Miller's Pond Apts</t>
  </si>
  <si>
    <t>25-180</t>
  </si>
  <si>
    <t>Alamo Area HFC</t>
  </si>
  <si>
    <t>Kerrville 3 Apts</t>
  </si>
  <si>
    <t>Kerrville</t>
  </si>
  <si>
    <t>5283; $4,000,000</t>
  </si>
  <si>
    <t>5290; $45,600,000 &amp; 5321; $4,400,000</t>
  </si>
  <si>
    <t>5321; $28,600,000</t>
  </si>
  <si>
    <t>5317; $15,716,000</t>
  </si>
  <si>
    <t>5396; $20,597,955.65</t>
  </si>
  <si>
    <t>5396; $10,000,000</t>
  </si>
  <si>
    <t>5396; $20,000,000</t>
  </si>
  <si>
    <t>2023CF (5058/5063/5065/5066/5067/5098)</t>
  </si>
  <si>
    <t>25-188</t>
  </si>
  <si>
    <t>Bowie County, Cass County, Delta County, Franklin County, Hopkins County, Lamar County, Morris County, Red River County, Titus County</t>
  </si>
  <si>
    <t>Anderson County, Angelina County, Camp County, Cherokee County, Gregg County, Harrison County, Henderson County, Marion County, Nacogdoches County, Panola County, Rains County, Rusk County, Smith County, Tyler County, Upshur County, Van Zandt County, Wood County</t>
  </si>
  <si>
    <t>Aere at Easton Park</t>
  </si>
  <si>
    <t>Southeast Texas HFC</t>
  </si>
  <si>
    <t>Austin County, Brazoria County, Matagorda County, Walker County, Waller County, Wharton County, City of Baytown, City of Deer Park, City of Dickinson, City of LaMarque, City of LaPorte, Pasadena, Santa Fe, Shoreacres, Texas City, Tomball</t>
  </si>
  <si>
    <t>5409; $30,000,000</t>
  </si>
  <si>
    <t>2024CF (5225)</t>
  </si>
  <si>
    <t>25-204</t>
  </si>
  <si>
    <t>25-206</t>
  </si>
  <si>
    <t>Avanti Hills</t>
  </si>
  <si>
    <t>25-207</t>
  </si>
  <si>
    <t>25-208</t>
  </si>
  <si>
    <t>Cobblestone Manor</t>
  </si>
  <si>
    <t>25-209</t>
  </si>
  <si>
    <t>25-211</t>
  </si>
  <si>
    <t>5419; $45,000,000</t>
  </si>
  <si>
    <t>5419; $7,000,000</t>
  </si>
  <si>
    <t>2024CF (5252 &amp; 5253)</t>
  </si>
  <si>
    <t>**Tax Credit Email 8/8/2025- received 8/12/2025</t>
  </si>
  <si>
    <t>**Tax Credit Email 8/8/2025- received 8/13/2025</t>
  </si>
  <si>
    <t>Heritage Pointe Seniors Apts</t>
  </si>
  <si>
    <t>Roseland Homes</t>
  </si>
  <si>
    <t>The Preserve at Dominion Park</t>
  </si>
  <si>
    <t>**Tax Credit Email 8/14/2025- received 8/14/2025</t>
  </si>
  <si>
    <t>5424; $6,400,000</t>
  </si>
  <si>
    <t>2024CF (5259)</t>
  </si>
  <si>
    <t>Jackson Road Apts</t>
  </si>
  <si>
    <t>25-223</t>
  </si>
  <si>
    <t>North Central HFC</t>
  </si>
  <si>
    <t>Counties of Ellis, Hunt, Kaufman, Navarro, Rockwall and the Cities of Cedar Hill, DeSoto, Duncanville, Lancaster and Waxahachie</t>
  </si>
  <si>
    <t>Trinity Junction</t>
  </si>
  <si>
    <t>Torrington Wilmer</t>
  </si>
  <si>
    <t>Wilmer</t>
  </si>
  <si>
    <t>5434; $15,000,000</t>
  </si>
  <si>
    <t>5425; $6,000,000 &amp; 5426; 2,050,000</t>
  </si>
  <si>
    <t>5426; $2,950,000 &amp; 5427; $24,550,000</t>
  </si>
  <si>
    <t>5427; $5,950,000 &amp; 5428; $6,050,000</t>
  </si>
  <si>
    <t>5428; $13,950,000 &amp; 5429; $6,050,000</t>
  </si>
  <si>
    <t>2024CF (5204)</t>
  </si>
  <si>
    <t>2024CF (5244 &amp; 5245)</t>
  </si>
  <si>
    <t>2024CF (5245 &amp; 5246)</t>
  </si>
  <si>
    <t>Terrell</t>
  </si>
  <si>
    <t>Terrell Family Apts</t>
  </si>
  <si>
    <t>25-227</t>
  </si>
  <si>
    <t>25-228</t>
  </si>
  <si>
    <t>Clairemont Senior Housing</t>
  </si>
  <si>
    <t>Weatherford</t>
  </si>
  <si>
    <t>West Dell Apartment Homes</t>
  </si>
  <si>
    <t>25CF-005</t>
  </si>
  <si>
    <t>Terrell HFC</t>
  </si>
  <si>
    <t>**Tax Credit Email 8/15/2025- withdrawn 8/20/2025</t>
  </si>
  <si>
    <t>**Tax Credit Email 8/15/2025- received 8/20/2025</t>
  </si>
  <si>
    <t>Kerrville 3 Apartments</t>
  </si>
  <si>
    <t>5443; $9,284,000</t>
  </si>
  <si>
    <t>5442; $3,520,000</t>
  </si>
  <si>
    <t>25CF-006</t>
  </si>
  <si>
    <t>Loma Vista Lofts Apts</t>
  </si>
  <si>
    <t>5445; $60,000,00</t>
  </si>
  <si>
    <t>5445; $60,000,000</t>
  </si>
  <si>
    <t>Bernicia Place</t>
  </si>
  <si>
    <t>**Tax Credit Email 9/5/2025- received 9/9/2025</t>
  </si>
  <si>
    <t>2024CF (5203)</t>
  </si>
  <si>
    <t>5267; $143,868,101.05 &amp; 5349; $170,840,815 &amp; 5396; $72,750,038.95</t>
  </si>
  <si>
    <t>5396; $61,000,000</t>
  </si>
  <si>
    <t>5396; $41,418,909.3</t>
  </si>
  <si>
    <t>25CF-007</t>
  </si>
  <si>
    <t>Jane at VIDA Apts</t>
  </si>
  <si>
    <t>5446; $35,000,000</t>
  </si>
  <si>
    <t>5352; $2,500,000</t>
  </si>
  <si>
    <t>5448; $35,000,000</t>
  </si>
  <si>
    <t>2022CF (4895)</t>
  </si>
  <si>
    <t>5447; $14,250,000</t>
  </si>
  <si>
    <t>Payton Gin Apts</t>
  </si>
  <si>
    <t>5419; $7,000,000 &amp; 5451; $33,000,000</t>
  </si>
  <si>
    <t>5451; $33,000,000</t>
  </si>
  <si>
    <t>QMBs</t>
  </si>
  <si>
    <t>5452; $87,298,849.33</t>
  </si>
  <si>
    <t>5452; $162,701,150.67 &amp; 5453; $247,268,934.33</t>
  </si>
  <si>
    <t>5453: $2,731,065.67</t>
  </si>
  <si>
    <t>2023CF (5098) &amp; 2024CF (5216)</t>
  </si>
  <si>
    <t>2024CF (5214)</t>
  </si>
  <si>
    <t>Manchester Apartments (AKA Austin Manor)</t>
  </si>
  <si>
    <t>5455; $8,000,000 &amp; 5456; $8,500,000</t>
  </si>
  <si>
    <t>5457; $628.40</t>
  </si>
  <si>
    <t>5457; $122,966,432</t>
  </si>
  <si>
    <t>5457; $118,111,220</t>
  </si>
  <si>
    <t>2023CF (5064) &amp; 2024CF (5217&amp;5232)</t>
  </si>
  <si>
    <t>Against 2023 &amp; 2024 CF</t>
  </si>
  <si>
    <t>Unencumbered Request</t>
  </si>
  <si>
    <t>25CF-UNENCUMBERED</t>
  </si>
  <si>
    <t>5374; $6,000,000</t>
  </si>
  <si>
    <t>TDHCA (Assigned by East Texas HFC)</t>
  </si>
  <si>
    <t>TDHCA (Assigned by Northeast Texas HFC)</t>
  </si>
  <si>
    <t>TDHCA (Assigned by Southeast Texas HFC)</t>
  </si>
  <si>
    <t>25CF-008</t>
  </si>
  <si>
    <t>Pathways at Santa Rita Courts East</t>
  </si>
  <si>
    <t>Includes $6,400,000 of CF from 2024</t>
  </si>
  <si>
    <t>5377; $50,000,000</t>
  </si>
  <si>
    <t>5322; $31,480,000 &amp; 5377; $18,520,000</t>
  </si>
  <si>
    <t>TDHCA (Assigned by Houston HFC)</t>
  </si>
  <si>
    <t>Includes $30,000,000 of CF from 2024</t>
  </si>
  <si>
    <t>Includes $15,000,000 of CF from 2023</t>
  </si>
  <si>
    <t>5450; $35,000,000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</si>
</sst>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m/d"/>
    <numFmt numFmtId="168" formatCode="_(&quot;$&quot;* #,##0.00_);_(&quot;$&quot;* \(#,##0.00\);_(&quot;$&quot;* &quot;-&quot;_);_(@_)"/>
    <numFmt numFmtId="169" formatCode="0.0%"/>
    <numFmt numFmtId="170" formatCode="_(&quot;$&quot;* #,##0.0_);_(&quot;$&quot;* \(#,##0.0\);_(&quot;$&quot;* &quot;-&quot;??_);_(@_)"/>
    <numFmt numFmtId="171" formatCode="0.000%"/>
    <numFmt numFmtId="172" formatCode="&quot;$&quot;#,##0.000"/>
    <numFmt numFmtId="173" formatCode="&quot;$&quot;#,##0.0000"/>
    <numFmt numFmtId="174" formatCode="_(&quot;$&quot;* #,##0.0000_);_(&quot;$&quot;* \(#,##0.0000\);_(&quot;$&quot;* &quot;-&quot;????_);_(@_)"/>
    <numFmt numFmtId="175" formatCode="_(* #,##0_);_(* \(#,##0\);_(* &quot;-&quot;??_);_(@_)"/>
    <numFmt numFmtId="176" formatCode="0.0000%"/>
    <numFmt numFmtId="177" formatCode="_(&quot;$&quot;* #,##0_);_(&quot;$&quot;* \(#,##0\);_(&quot;$&quot;* &quot;-&quot;?????_);_(@_)"/>
    <numFmt numFmtId="178" formatCode="_(&quot;$&quot;* #,##0.0_);_(&quot;$&quot;* \(#,##0.0\);_(&quot;$&quot;* &quot;-&quot;?_);_(@_)"/>
    <numFmt numFmtId="179" formatCode="0.00000%"/>
    <numFmt numFmtId="180" formatCode="&quot;$&quot;#,##0.0_);[Red]\(&quot;$&quot;#,##0.0\)"/>
    <numFmt numFmtId="181" formatCode="_(&quot;$&quot;* #,##0.00000_);_(&quot;$&quot;* \(#,##0.00000\);_(&quot;$&quot;* &quot;-&quot;?????_);_(@_)"/>
  </numFmts>
  <fonts count="33">
    <font>
      <sz val="9"/>
      <name val="Geneva"/>
    </font>
    <font>
      <b/>
      <sz val="9"/>
      <name val="Geneva"/>
    </font>
    <font>
      <sz val="9"/>
      <name val="Geneva"/>
    </font>
    <font>
      <sz val="8"/>
      <name val="Geneva"/>
    </font>
    <font>
      <sz val="9"/>
      <name val="Times New Roman"/>
      <family val="1"/>
    </font>
    <font>
      <b/>
      <sz val="9"/>
      <name val="Times New Roman"/>
      <family val="1"/>
    </font>
    <font>
      <b/>
      <sz val="9"/>
      <color indexed="10"/>
      <name val="Times New Roman"/>
      <family val="1"/>
    </font>
    <font>
      <sz val="10"/>
      <name val="arial"/>
      <family val="2"/>
    </font>
    <font>
      <b/>
      <sz val="9"/>
      <name val="times new"/>
    </font>
    <font>
      <sz val="9"/>
      <name val="times new"/>
    </font>
    <font>
      <b/>
      <sz val="10"/>
      <name val="Times New Roman"/>
      <family val="1"/>
    </font>
    <font>
      <sz val="10"/>
      <name val="Times New Roman"/>
      <family val="1"/>
    </font>
    <font>
      <sz val="6.75"/>
      <color indexed="8"/>
      <name val="Arial"/>
      <family val="2"/>
    </font>
    <font>
      <sz val="12"/>
      <name val="Garamond"/>
      <family val="1"/>
    </font>
    <font>
      <sz val="9"/>
      <name val="Geneva"/>
      <family val="2"/>
    </font>
    <font>
      <sz val="10"/>
      <name val="Geneva"/>
    </font>
    <font>
      <b/>
      <sz val="10"/>
      <color indexed="12"/>
      <name val="Times New Roman"/>
      <family val="1"/>
    </font>
    <font>
      <i/>
      <sz val="9"/>
      <name val="Times New Roman"/>
      <family val="1"/>
    </font>
    <font>
      <sz val="7.2"/>
      <name val="Times New Roman"/>
      <family val="1"/>
    </font>
    <font>
      <sz val="11"/>
      <color theme="1"/>
      <name val="Calibri"/>
      <family val="2"/>
      <scheme val="minor"/>
    </font>
    <font>
      <sz val="9"/>
      <color theme="1"/>
      <name val="Times New Roman"/>
      <family val="1"/>
    </font>
    <font>
      <sz val="9"/>
      <color rgb="FFFF0000"/>
      <name val="Times New Roman"/>
      <family val="1"/>
    </font>
    <font>
      <b/>
      <sz val="9"/>
      <color rgb="FFFF0000"/>
      <name val="Times New Roman"/>
      <family val="1"/>
    </font>
    <font>
      <i/>
      <sz val="9"/>
      <name val="Geneva"/>
    </font>
    <font>
      <sz val="10"/>
      <name val="Garamond"/>
      <family val="1"/>
    </font>
    <font>
      <sz val="12"/>
      <color rgb="FFFF0000"/>
      <name val="Garamond"/>
      <family val="1"/>
    </font>
    <font>
      <b/>
      <sz val="9"/>
      <color rgb="FF00B050"/>
      <name val="Times New Roman"/>
      <family val="1"/>
    </font>
    <font>
      <b/>
      <sz val="9"/>
      <color rgb="FFFF0000"/>
      <name val="Geneva"/>
    </font>
    <font>
      <sz val="9"/>
      <color rgb="FFFF0000"/>
      <name val="Geneva"/>
    </font>
    <font>
      <i/>
      <sz val="9"/>
      <color rgb="FF7030A0"/>
      <name val="Geneva"/>
    </font>
    <font>
      <sz val="8"/>
      <color rgb="FF000000"/>
      <name val="Arial"/>
      <family val="2"/>
    </font>
    <font>
      <b/>
      <sz val="9"/>
      <color rgb="FF0070C0"/>
      <name val="Times New Roman"/>
      <family val="1"/>
    </font>
    <font>
      <sz val="9"/>
      <color rgb="FF0070C0"/>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bottom/>
      <diagonal/>
    </border>
    <border>
      <left style="medium">
        <color indexed="64"/>
      </left>
      <right/>
      <top style="thin">
        <color indexed="64"/>
      </top>
      <bottom style="medium">
        <color indexed="64"/>
      </bottom>
      <diagonal/>
    </border>
    <border>
      <left/>
      <right style="thick">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9">
    <xf numFmtId="0" fontId="0" fillId="0" borderId="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1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0" fontId="2" fillId="0" borderId="0"/>
    <xf numFmtId="0" fontId="19" fillId="0" borderId="0"/>
    <xf numFmtId="0" fontId="14"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15" fillId="0" borderId="0"/>
    <xf numFmtId="0" fontId="2" fillId="0" borderId="0"/>
    <xf numFmtId="0" fontId="2" fillId="0" borderId="0"/>
    <xf numFmtId="0" fontId="2" fillId="0" borderId="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593">
    <xf numFmtId="0" fontId="0" fillId="0" borderId="0" xfId="0"/>
    <xf numFmtId="0" fontId="4" fillId="0" borderId="0" xfId="0" applyFont="1"/>
    <xf numFmtId="166" fontId="4" fillId="0" borderId="0" xfId="8" applyNumberFormat="1" applyFont="1"/>
    <xf numFmtId="14" fontId="4" fillId="0" borderId="0" xfId="0" applyNumberFormat="1" applyFont="1"/>
    <xf numFmtId="0" fontId="5" fillId="0" borderId="0" xfId="0" applyFont="1"/>
    <xf numFmtId="0" fontId="5" fillId="0" borderId="0" xfId="0" applyFont="1" applyAlignment="1">
      <alignment horizontal="center"/>
    </xf>
    <xf numFmtId="14" fontId="5" fillId="0" borderId="0" xfId="0" applyNumberFormat="1" applyFont="1" applyAlignment="1">
      <alignment horizontal="center"/>
    </xf>
    <xf numFmtId="14" fontId="5" fillId="0" borderId="0" xfId="0" applyNumberFormat="1" applyFont="1"/>
    <xf numFmtId="6" fontId="4" fillId="0" borderId="0" xfId="0" applyNumberFormat="1" applyFont="1"/>
    <xf numFmtId="164" fontId="4" fillId="0" borderId="0" xfId="0" applyNumberFormat="1" applyFont="1"/>
    <xf numFmtId="164" fontId="4" fillId="0" borderId="0" xfId="0" applyNumberFormat="1" applyFont="1" applyAlignment="1">
      <alignment horizontal="center"/>
    </xf>
    <xf numFmtId="14" fontId="4" fillId="0" borderId="0" xfId="0" applyNumberFormat="1" applyFont="1" applyAlignment="1">
      <alignment horizontal="center"/>
    </xf>
    <xf numFmtId="165" fontId="4" fillId="0" borderId="0" xfId="8" applyFont="1" applyAlignment="1">
      <alignment horizontal="center"/>
    </xf>
    <xf numFmtId="0" fontId="4" fillId="0" borderId="0" xfId="0" applyFont="1" applyAlignment="1">
      <alignment horizontal="center"/>
    </xf>
    <xf numFmtId="10" fontId="4" fillId="0" borderId="0" xfId="48" applyNumberFormat="1" applyFont="1"/>
    <xf numFmtId="10" fontId="4" fillId="0" borderId="0" xfId="48" applyNumberFormat="1" applyFont="1" applyAlignment="1">
      <alignment horizontal="center"/>
    </xf>
    <xf numFmtId="0" fontId="5" fillId="0" borderId="1" xfId="0" applyFont="1" applyBorder="1" applyAlignment="1">
      <alignment horizontal="left"/>
    </xf>
    <xf numFmtId="0" fontId="5" fillId="0" borderId="2" xfId="0" applyFont="1" applyBorder="1" applyAlignment="1">
      <alignment horizontal="center"/>
    </xf>
    <xf numFmtId="5" fontId="5" fillId="0" borderId="2" xfId="0" applyNumberFormat="1" applyFont="1" applyBorder="1" applyAlignment="1">
      <alignment horizontal="center"/>
    </xf>
    <xf numFmtId="164" fontId="4" fillId="0" borderId="2" xfId="8" applyNumberFormat="1" applyFont="1" applyBorder="1" applyAlignment="1">
      <alignment horizontal="center"/>
    </xf>
    <xf numFmtId="164" fontId="5" fillId="0" borderId="2" xfId="23" applyNumberFormat="1" applyFont="1" applyBorder="1" applyAlignment="1">
      <alignment horizontal="right"/>
    </xf>
    <xf numFmtId="5" fontId="4" fillId="0" borderId="2" xfId="0" applyNumberFormat="1" applyFont="1" applyBorder="1" applyAlignment="1">
      <alignment horizontal="center"/>
    </xf>
    <xf numFmtId="14" fontId="4" fillId="0" borderId="2" xfId="0" applyNumberFormat="1" applyFont="1" applyBorder="1" applyAlignment="1">
      <alignment horizontal="center"/>
    </xf>
    <xf numFmtId="14" fontId="5" fillId="0" borderId="3" xfId="0" applyNumberFormat="1" applyFont="1" applyBorder="1" applyAlignment="1">
      <alignment horizontal="center"/>
    </xf>
    <xf numFmtId="0" fontId="4" fillId="0" borderId="2" xfId="0" applyFont="1" applyBorder="1" applyAlignment="1">
      <alignment horizontal="center"/>
    </xf>
    <xf numFmtId="0" fontId="5" fillId="0" borderId="4" xfId="0" applyFont="1" applyBorder="1" applyAlignment="1">
      <alignment horizontal="left"/>
    </xf>
    <xf numFmtId="5" fontId="5" fillId="0" borderId="0" xfId="0" applyNumberFormat="1" applyFont="1" applyAlignment="1">
      <alignment horizontal="center"/>
    </xf>
    <xf numFmtId="164" fontId="4" fillId="0" borderId="0" xfId="8" applyNumberFormat="1" applyFont="1" applyBorder="1" applyAlignment="1">
      <alignment horizontal="center"/>
    </xf>
    <xf numFmtId="164" fontId="5" fillId="0" borderId="0" xfId="23" applyNumberFormat="1" applyFont="1" applyBorder="1" applyAlignment="1">
      <alignment horizontal="right"/>
    </xf>
    <xf numFmtId="7" fontId="4" fillId="0" borderId="0" xfId="0" applyNumberFormat="1" applyFont="1" applyAlignment="1">
      <alignment horizontal="center"/>
    </xf>
    <xf numFmtId="14" fontId="5" fillId="0" borderId="5" xfId="0" applyNumberFormat="1" applyFont="1" applyBorder="1" applyAlignment="1">
      <alignment horizontal="center"/>
    </xf>
    <xf numFmtId="0" fontId="5" fillId="0" borderId="4" xfId="0" applyFont="1" applyBorder="1" applyAlignment="1">
      <alignment horizontal="center"/>
    </xf>
    <xf numFmtId="164" fontId="5" fillId="0" borderId="0" xfId="8" applyNumberFormat="1" applyFont="1" applyBorder="1" applyAlignment="1">
      <alignment horizontal="center"/>
    </xf>
    <xf numFmtId="0" fontId="5" fillId="0" borderId="6" xfId="0" applyFont="1" applyBorder="1" applyAlignment="1">
      <alignment horizontal="center"/>
    </xf>
    <xf numFmtId="164" fontId="4" fillId="0" borderId="0" xfId="8" applyNumberFormat="1" applyFont="1" applyAlignment="1">
      <alignment horizontal="center"/>
    </xf>
    <xf numFmtId="44" fontId="4" fillId="0" borderId="0" xfId="8" applyNumberFormat="1" applyFont="1" applyAlignment="1">
      <alignment horizontal="center"/>
    </xf>
    <xf numFmtId="5" fontId="4" fillId="0" borderId="0" xfId="0" applyNumberFormat="1" applyFont="1" applyAlignment="1">
      <alignment horizontal="center"/>
    </xf>
    <xf numFmtId="0" fontId="5" fillId="0" borderId="7" xfId="0" applyFont="1" applyBorder="1" applyAlignment="1">
      <alignment horizontal="center"/>
    </xf>
    <xf numFmtId="0" fontId="4" fillId="0" borderId="6" xfId="0" applyFont="1" applyBorder="1" applyAlignment="1">
      <alignment horizontal="center"/>
    </xf>
    <xf numFmtId="5" fontId="5" fillId="0" borderId="6" xfId="0" applyNumberFormat="1" applyFont="1" applyBorder="1" applyAlignment="1">
      <alignment horizontal="center"/>
    </xf>
    <xf numFmtId="14" fontId="5" fillId="0" borderId="6" xfId="0" applyNumberFormat="1" applyFont="1" applyBorder="1" applyAlignment="1">
      <alignment horizontal="center"/>
    </xf>
    <xf numFmtId="166" fontId="4" fillId="0" borderId="0" xfId="8" applyNumberFormat="1" applyFont="1" applyAlignment="1">
      <alignment horizontal="right"/>
    </xf>
    <xf numFmtId="166" fontId="4" fillId="0" borderId="0" xfId="8" applyNumberFormat="1" applyFont="1" applyBorder="1" applyAlignment="1">
      <alignment horizontal="right"/>
    </xf>
    <xf numFmtId="0" fontId="4" fillId="0" borderId="0" xfId="0" applyFont="1" applyAlignment="1">
      <alignment horizontal="left"/>
    </xf>
    <xf numFmtId="165" fontId="4" fillId="0" borderId="0" xfId="8" applyFont="1" applyBorder="1" applyAlignment="1">
      <alignment horizontal="center"/>
    </xf>
    <xf numFmtId="44" fontId="4" fillId="0" borderId="0" xfId="8" applyNumberFormat="1" applyFont="1" applyBorder="1" applyAlignment="1">
      <alignment horizontal="center"/>
    </xf>
    <xf numFmtId="165" fontId="5" fillId="0" borderId="0" xfId="8" applyFont="1" applyBorder="1" applyAlignment="1">
      <alignment horizontal="center"/>
    </xf>
    <xf numFmtId="44" fontId="5" fillId="0" borderId="0" xfId="8" applyNumberFormat="1" applyFont="1" applyBorder="1" applyAlignment="1">
      <alignment horizontal="center"/>
    </xf>
    <xf numFmtId="0" fontId="5" fillId="0" borderId="0" xfId="0" applyFont="1" applyAlignment="1">
      <alignment horizontal="left"/>
    </xf>
    <xf numFmtId="44" fontId="4" fillId="0" borderId="0" xfId="0" applyNumberFormat="1" applyFont="1" applyAlignment="1">
      <alignment horizontal="center"/>
    </xf>
    <xf numFmtId="165" fontId="4" fillId="0" borderId="0" xfId="8" applyFont="1" applyBorder="1" applyAlignment="1">
      <alignment horizontal="right"/>
    </xf>
    <xf numFmtId="165" fontId="4" fillId="0" borderId="0" xfId="8" applyFont="1" applyAlignment="1">
      <alignment horizontal="right"/>
    </xf>
    <xf numFmtId="164" fontId="5" fillId="0" borderId="0" xfId="0" applyNumberFormat="1" applyFont="1" applyAlignment="1">
      <alignment horizontal="center"/>
    </xf>
    <xf numFmtId="166" fontId="4" fillId="0" borderId="0" xfId="8" applyNumberFormat="1" applyFont="1" applyBorder="1" applyAlignment="1">
      <alignment horizontal="center"/>
    </xf>
    <xf numFmtId="166" fontId="5" fillId="0" borderId="0" xfId="8" applyNumberFormat="1" applyFont="1" applyBorder="1" applyAlignment="1">
      <alignment horizontal="center"/>
    </xf>
    <xf numFmtId="164" fontId="5" fillId="0" borderId="6" xfId="8" applyNumberFormat="1" applyFont="1" applyBorder="1" applyAlignment="1">
      <alignment horizontal="center"/>
    </xf>
    <xf numFmtId="166" fontId="5" fillId="0" borderId="6" xfId="8" applyNumberFormat="1" applyFont="1" applyBorder="1" applyAlignment="1">
      <alignment horizontal="center"/>
    </xf>
    <xf numFmtId="166" fontId="4" fillId="0" borderId="0" xfId="8" applyNumberFormat="1" applyFont="1" applyAlignment="1">
      <alignment horizontal="center"/>
    </xf>
    <xf numFmtId="0" fontId="5" fillId="0" borderId="0" xfId="0" applyFont="1" applyAlignment="1">
      <alignment horizontal="right"/>
    </xf>
    <xf numFmtId="164" fontId="4" fillId="0" borderId="0" xfId="8" applyNumberFormat="1" applyFont="1" applyBorder="1" applyAlignment="1">
      <alignment horizontal="right"/>
    </xf>
    <xf numFmtId="164" fontId="4" fillId="0" borderId="0" xfId="8" applyNumberFormat="1" applyFont="1" applyAlignment="1">
      <alignment horizontal="right"/>
    </xf>
    <xf numFmtId="6" fontId="4" fillId="0" borderId="0" xfId="0" applyNumberFormat="1" applyFont="1" applyAlignment="1">
      <alignment horizontal="center"/>
    </xf>
    <xf numFmtId="42" fontId="5" fillId="0" borderId="0" xfId="8" applyNumberFormat="1" applyFont="1" applyAlignment="1">
      <alignment horizontal="right"/>
    </xf>
    <xf numFmtId="164" fontId="4" fillId="0" borderId="0" xfId="0" applyNumberFormat="1" applyFont="1" applyAlignment="1">
      <alignment horizontal="right"/>
    </xf>
    <xf numFmtId="164" fontId="5" fillId="0" borderId="0" xfId="0" applyNumberFormat="1" applyFont="1" applyAlignment="1">
      <alignment horizontal="right"/>
    </xf>
    <xf numFmtId="42" fontId="4" fillId="0" borderId="0" xfId="8" applyNumberFormat="1" applyFont="1" applyAlignment="1">
      <alignment horizontal="center"/>
    </xf>
    <xf numFmtId="42" fontId="4" fillId="0" borderId="0" xfId="8" applyNumberFormat="1" applyFont="1" applyBorder="1" applyAlignment="1">
      <alignment horizontal="center"/>
    </xf>
    <xf numFmtId="42" fontId="4" fillId="0" borderId="0" xfId="0" applyNumberFormat="1" applyFont="1" applyAlignment="1">
      <alignment horizontal="center"/>
    </xf>
    <xf numFmtId="164" fontId="4" fillId="0" borderId="9" xfId="8" applyNumberFormat="1" applyFont="1" applyBorder="1" applyAlignment="1">
      <alignment horizontal="center"/>
    </xf>
    <xf numFmtId="42" fontId="5" fillId="0" borderId="0" xfId="0" applyNumberFormat="1" applyFont="1" applyAlignment="1">
      <alignment horizontal="center"/>
    </xf>
    <xf numFmtId="164" fontId="5" fillId="0" borderId="2" xfId="23" applyNumberFormat="1" applyFont="1" applyBorder="1" applyAlignment="1">
      <alignment horizontal="center"/>
    </xf>
    <xf numFmtId="164" fontId="4" fillId="0" borderId="0" xfId="23" applyNumberFormat="1" applyFont="1" applyBorder="1" applyAlignment="1">
      <alignment horizontal="center"/>
    </xf>
    <xf numFmtId="14" fontId="4" fillId="0" borderId="5" xfId="0" applyNumberFormat="1" applyFont="1" applyBorder="1" applyAlignment="1">
      <alignment horizontal="center"/>
    </xf>
    <xf numFmtId="164" fontId="5" fillId="0" borderId="0" xfId="23" applyNumberFormat="1" applyFont="1" applyBorder="1" applyAlignment="1">
      <alignment horizontal="center"/>
    </xf>
    <xf numFmtId="164" fontId="5" fillId="0" borderId="6" xfId="23" applyNumberFormat="1" applyFont="1" applyBorder="1" applyAlignment="1">
      <alignment horizontal="center"/>
    </xf>
    <xf numFmtId="42" fontId="5" fillId="0" borderId="0" xfId="0" applyNumberFormat="1" applyFont="1"/>
    <xf numFmtId="42" fontId="4" fillId="0" borderId="0" xfId="0" applyNumberFormat="1" applyFont="1"/>
    <xf numFmtId="164" fontId="5" fillId="0" borderId="9" xfId="0" applyNumberFormat="1" applyFont="1" applyBorder="1"/>
    <xf numFmtId="4" fontId="4" fillId="0" borderId="0" xfId="0" applyNumberFormat="1" applyFont="1" applyAlignment="1">
      <alignment horizontal="center"/>
    </xf>
    <xf numFmtId="4" fontId="5" fillId="0" borderId="0" xfId="0" applyNumberFormat="1" applyFont="1" applyAlignment="1">
      <alignment horizontal="center"/>
    </xf>
    <xf numFmtId="8" fontId="4" fillId="0" borderId="0" xfId="0" applyNumberFormat="1" applyFont="1" applyAlignment="1">
      <alignment horizontal="center"/>
    </xf>
    <xf numFmtId="42" fontId="4" fillId="0" borderId="9" xfId="0" applyNumberFormat="1" applyFont="1" applyBorder="1"/>
    <xf numFmtId="44" fontId="4" fillId="0" borderId="0" xfId="0" applyNumberFormat="1" applyFont="1" applyAlignment="1">
      <alignment horizontal="right"/>
    </xf>
    <xf numFmtId="44" fontId="4" fillId="0" borderId="0" xfId="0" applyNumberFormat="1" applyFont="1"/>
    <xf numFmtId="42" fontId="5" fillId="0" borderId="0" xfId="8" applyNumberFormat="1" applyFont="1" applyBorder="1" applyAlignment="1">
      <alignment horizontal="center"/>
    </xf>
    <xf numFmtId="164" fontId="4" fillId="0" borderId="9" xfId="0" applyNumberFormat="1" applyFont="1" applyBorder="1" applyAlignment="1">
      <alignment horizontal="right"/>
    </xf>
    <xf numFmtId="5" fontId="4" fillId="0" borderId="0" xfId="8" applyNumberFormat="1" applyFont="1" applyBorder="1" applyAlignment="1">
      <alignment horizontal="center"/>
    </xf>
    <xf numFmtId="0" fontId="4" fillId="0" borderId="10" xfId="0" applyFont="1" applyBorder="1"/>
    <xf numFmtId="20" fontId="4" fillId="0" borderId="0" xfId="0" applyNumberFormat="1" applyFont="1"/>
    <xf numFmtId="5" fontId="5" fillId="0" borderId="11" xfId="0" applyNumberFormat="1" applyFont="1" applyBorder="1" applyAlignment="1">
      <alignment horizontal="center"/>
    </xf>
    <xf numFmtId="0" fontId="5" fillId="0" borderId="11" xfId="0" applyFont="1" applyBorder="1" applyAlignment="1">
      <alignment horizontal="center"/>
    </xf>
    <xf numFmtId="4" fontId="5" fillId="0" borderId="11" xfId="0" applyNumberFormat="1" applyFont="1" applyBorder="1" applyAlignment="1">
      <alignment horizontal="center"/>
    </xf>
    <xf numFmtId="14" fontId="5" fillId="0" borderId="11" xfId="0" applyNumberFormat="1" applyFont="1" applyBorder="1" applyAlignment="1">
      <alignment horizontal="center"/>
    </xf>
    <xf numFmtId="14" fontId="4" fillId="0" borderId="0" xfId="0" applyNumberFormat="1" applyFont="1" applyAlignment="1">
      <alignment horizontal="left"/>
    </xf>
    <xf numFmtId="14" fontId="4" fillId="0" borderId="0" xfId="8" applyNumberFormat="1" applyFont="1" applyAlignment="1">
      <alignment horizontal="left"/>
    </xf>
    <xf numFmtId="165" fontId="4" fillId="0" borderId="0" xfId="0" applyNumberFormat="1" applyFont="1" applyAlignment="1">
      <alignment horizontal="center"/>
    </xf>
    <xf numFmtId="42" fontId="5" fillId="0" borderId="0" xfId="0" applyNumberFormat="1" applyFont="1" applyAlignment="1">
      <alignment horizontal="right"/>
    </xf>
    <xf numFmtId="9" fontId="4" fillId="0" borderId="0" xfId="48" applyFont="1"/>
    <xf numFmtId="43" fontId="4" fillId="0" borderId="0" xfId="1" applyFont="1" applyAlignment="1">
      <alignment horizontal="center"/>
    </xf>
    <xf numFmtId="8" fontId="7" fillId="0" borderId="0" xfId="0" applyNumberFormat="1" applyFont="1"/>
    <xf numFmtId="0" fontId="7" fillId="0" borderId="0" xfId="0" applyFont="1"/>
    <xf numFmtId="10" fontId="4" fillId="0" borderId="0" xfId="0" applyNumberFormat="1" applyFont="1" applyAlignment="1">
      <alignment horizontal="center"/>
    </xf>
    <xf numFmtId="0" fontId="9" fillId="0" borderId="2" xfId="0" applyFont="1" applyBorder="1" applyAlignment="1">
      <alignment horizontal="center"/>
    </xf>
    <xf numFmtId="0" fontId="8" fillId="0" borderId="0" xfId="0" applyFont="1" applyAlignment="1">
      <alignment horizontal="center"/>
    </xf>
    <xf numFmtId="164" fontId="9" fillId="0" borderId="0" xfId="8" applyNumberFormat="1" applyFont="1" applyBorder="1" applyAlignment="1">
      <alignment horizontal="center"/>
    </xf>
    <xf numFmtId="0" fontId="9" fillId="0" borderId="0" xfId="0" applyFont="1" applyAlignment="1">
      <alignment horizontal="center"/>
    </xf>
    <xf numFmtId="14" fontId="8" fillId="0" borderId="5" xfId="0" applyNumberFormat="1" applyFont="1" applyBorder="1" applyAlignment="1">
      <alignment horizontal="center"/>
    </xf>
    <xf numFmtId="14" fontId="8" fillId="0" borderId="8" xfId="0" applyNumberFormat="1" applyFont="1" applyBorder="1" applyAlignment="1">
      <alignment horizontal="center"/>
    </xf>
    <xf numFmtId="14" fontId="8" fillId="0" borderId="0" xfId="0" applyNumberFormat="1" applyFont="1" applyAlignment="1">
      <alignment horizontal="center"/>
    </xf>
    <xf numFmtId="14" fontId="9" fillId="0" borderId="0" xfId="0" applyNumberFormat="1" applyFont="1" applyAlignment="1">
      <alignment horizontal="center"/>
    </xf>
    <xf numFmtId="164" fontId="9" fillId="0" borderId="0" xfId="8" applyNumberFormat="1" applyFont="1" applyAlignment="1">
      <alignment horizontal="center"/>
    </xf>
    <xf numFmtId="0" fontId="9" fillId="0" borderId="0" xfId="0" applyFont="1" applyAlignment="1">
      <alignment horizontal="left"/>
    </xf>
    <xf numFmtId="44" fontId="9" fillId="0" borderId="0" xfId="8" applyNumberFormat="1" applyFont="1" applyAlignment="1">
      <alignment horizontal="center"/>
    </xf>
    <xf numFmtId="9" fontId="4" fillId="0" borderId="2" xfId="48" applyFont="1" applyBorder="1" applyAlignment="1">
      <alignment horizontal="center"/>
    </xf>
    <xf numFmtId="9" fontId="4" fillId="0" borderId="0" xfId="48" applyFont="1" applyBorder="1" applyAlignment="1">
      <alignment horizontal="center"/>
    </xf>
    <xf numFmtId="9" fontId="5" fillId="0" borderId="0" xfId="48" applyFont="1" applyBorder="1" applyAlignment="1">
      <alignment horizontal="center"/>
    </xf>
    <xf numFmtId="9" fontId="5" fillId="0" borderId="6" xfId="48" applyFont="1" applyBorder="1" applyAlignment="1">
      <alignment horizontal="center"/>
    </xf>
    <xf numFmtId="43" fontId="4" fillId="0" borderId="0" xfId="0" applyNumberFormat="1" applyFont="1" applyAlignment="1">
      <alignment horizontal="center"/>
    </xf>
    <xf numFmtId="4" fontId="12" fillId="0" borderId="0" xfId="0" applyNumberFormat="1" applyFont="1"/>
    <xf numFmtId="170" fontId="4" fillId="0" borderId="2" xfId="23" applyNumberFormat="1" applyFont="1" applyBorder="1" applyAlignment="1">
      <alignment horizontal="center"/>
    </xf>
    <xf numFmtId="170" fontId="4" fillId="0" borderId="0" xfId="23" applyNumberFormat="1" applyFont="1" applyBorder="1" applyAlignment="1">
      <alignment horizontal="center"/>
    </xf>
    <xf numFmtId="170" fontId="5" fillId="0" borderId="0" xfId="23" applyNumberFormat="1" applyFont="1" applyBorder="1" applyAlignment="1">
      <alignment horizontal="center"/>
    </xf>
    <xf numFmtId="170" fontId="4" fillId="0" borderId="0" xfId="0" applyNumberFormat="1" applyFont="1"/>
    <xf numFmtId="7" fontId="4" fillId="0" borderId="2" xfId="0" applyNumberFormat="1" applyFont="1" applyBorder="1" applyAlignment="1">
      <alignment horizontal="center"/>
    </xf>
    <xf numFmtId="164" fontId="5" fillId="0" borderId="0" xfId="0" applyNumberFormat="1" applyFont="1"/>
    <xf numFmtId="10" fontId="4" fillId="0" borderId="0" xfId="48" applyNumberFormat="1" applyFont="1" applyBorder="1" applyAlignment="1">
      <alignment horizontal="center"/>
    </xf>
    <xf numFmtId="166" fontId="5" fillId="0" borderId="0" xfId="8" applyNumberFormat="1" applyFont="1" applyBorder="1" applyAlignment="1">
      <alignment horizontal="right"/>
    </xf>
    <xf numFmtId="167" fontId="4" fillId="0" borderId="0" xfId="0" applyNumberFormat="1" applyFont="1" applyAlignment="1">
      <alignment horizontal="center"/>
    </xf>
    <xf numFmtId="14" fontId="6" fillId="0" borderId="0" xfId="0" applyNumberFormat="1" applyFont="1" applyAlignment="1">
      <alignment horizontal="center"/>
    </xf>
    <xf numFmtId="42" fontId="4" fillId="0" borderId="2" xfId="8" applyNumberFormat="1" applyFont="1" applyBorder="1" applyAlignment="1">
      <alignment horizontal="center"/>
    </xf>
    <xf numFmtId="42" fontId="5" fillId="0" borderId="6" xfId="8" applyNumberFormat="1" applyFont="1" applyBorder="1" applyAlignment="1">
      <alignment horizontal="center"/>
    </xf>
    <xf numFmtId="0" fontId="4" fillId="0" borderId="2" xfId="0" applyFont="1" applyBorder="1"/>
    <xf numFmtId="165" fontId="4" fillId="0" borderId="0" xfId="8" applyFont="1" applyAlignment="1">
      <alignment horizontal="left"/>
    </xf>
    <xf numFmtId="0" fontId="4" fillId="0" borderId="0" xfId="0" applyFont="1" applyAlignment="1">
      <alignment horizontal="right"/>
    </xf>
    <xf numFmtId="172" fontId="4" fillId="0" borderId="0" xfId="8" applyNumberFormat="1" applyFont="1" applyAlignment="1">
      <alignment horizontal="center"/>
    </xf>
    <xf numFmtId="173" fontId="4" fillId="0" borderId="0" xfId="8" applyNumberFormat="1" applyFont="1" applyAlignment="1">
      <alignment horizontal="center"/>
    </xf>
    <xf numFmtId="0" fontId="4" fillId="0" borderId="4" xfId="0" applyFont="1" applyBorder="1" applyAlignment="1">
      <alignment horizontal="left"/>
    </xf>
    <xf numFmtId="0" fontId="4" fillId="0" borderId="4" xfId="0" applyFont="1" applyBorder="1" applyAlignment="1">
      <alignment horizontal="center"/>
    </xf>
    <xf numFmtId="5" fontId="4" fillId="0" borderId="0" xfId="0" applyNumberFormat="1" applyFont="1"/>
    <xf numFmtId="164" fontId="4" fillId="0" borderId="13" xfId="8" applyNumberFormat="1" applyFont="1" applyBorder="1" applyAlignment="1">
      <alignment horizontal="center"/>
    </xf>
    <xf numFmtId="166" fontId="4" fillId="0" borderId="0" xfId="0" applyNumberFormat="1" applyFont="1"/>
    <xf numFmtId="164" fontId="9" fillId="0" borderId="0" xfId="8" applyNumberFormat="1" applyFont="1" applyAlignment="1"/>
    <xf numFmtId="14" fontId="5" fillId="0" borderId="0" xfId="0" applyNumberFormat="1" applyFont="1" applyAlignment="1">
      <alignment horizontal="left"/>
    </xf>
    <xf numFmtId="169" fontId="4" fillId="0" borderId="0" xfId="48" applyNumberFormat="1" applyFont="1"/>
    <xf numFmtId="44" fontId="5" fillId="0" borderId="0" xfId="0" applyNumberFormat="1" applyFont="1"/>
    <xf numFmtId="169" fontId="4" fillId="0" borderId="0" xfId="48" applyNumberFormat="1" applyFont="1" applyAlignment="1">
      <alignment horizontal="center"/>
    </xf>
    <xf numFmtId="169" fontId="9" fillId="0" borderId="0" xfId="48" applyNumberFormat="1" applyFont="1" applyAlignment="1">
      <alignment horizontal="center"/>
    </xf>
    <xf numFmtId="164" fontId="5" fillId="0" borderId="0" xfId="0" applyNumberFormat="1" applyFont="1" applyAlignment="1">
      <alignment horizontal="left"/>
    </xf>
    <xf numFmtId="5" fontId="4" fillId="0" borderId="0" xfId="0" applyNumberFormat="1" applyFont="1" applyAlignment="1">
      <alignment horizontal="left"/>
    </xf>
    <xf numFmtId="42" fontId="4" fillId="0" borderId="0" xfId="0" applyNumberFormat="1" applyFont="1" applyAlignment="1">
      <alignment horizontal="right"/>
    </xf>
    <xf numFmtId="0" fontId="5" fillId="0" borderId="15" xfId="0" applyFont="1" applyBorder="1" applyAlignment="1">
      <alignment horizontal="left"/>
    </xf>
    <xf numFmtId="175" fontId="4" fillId="0" borderId="0" xfId="1" applyNumberFormat="1" applyFont="1" applyAlignment="1">
      <alignment horizontal="center"/>
    </xf>
    <xf numFmtId="14" fontId="4" fillId="0" borderId="0" xfId="0" applyNumberFormat="1" applyFont="1" applyAlignment="1">
      <alignment horizontal="right"/>
    </xf>
    <xf numFmtId="0" fontId="10" fillId="0" borderId="4" xfId="0" applyFont="1" applyBorder="1" applyAlignment="1">
      <alignment horizontal="center"/>
    </xf>
    <xf numFmtId="0" fontId="10" fillId="0" borderId="7" xfId="0" applyFont="1" applyBorder="1" applyAlignment="1">
      <alignment horizontal="center"/>
    </xf>
    <xf numFmtId="0" fontId="11" fillId="0" borderId="6" xfId="0" applyFont="1" applyBorder="1" applyAlignment="1">
      <alignment horizontal="center" vertical="center"/>
    </xf>
    <xf numFmtId="0" fontId="10" fillId="0" borderId="6" xfId="0" applyFont="1" applyBorder="1" applyAlignment="1">
      <alignment horizontal="center"/>
    </xf>
    <xf numFmtId="5" fontId="10" fillId="0" borderId="6" xfId="0" applyNumberFormat="1" applyFont="1" applyBorder="1" applyAlignment="1">
      <alignment horizontal="center"/>
    </xf>
    <xf numFmtId="5" fontId="10" fillId="0" borderId="6" xfId="0" applyNumberFormat="1" applyFont="1" applyBorder="1" applyAlignment="1">
      <alignment horizontal="left"/>
    </xf>
    <xf numFmtId="0" fontId="16" fillId="0" borderId="1" xfId="0" applyFont="1" applyBorder="1"/>
    <xf numFmtId="0" fontId="11" fillId="0" borderId="2" xfId="0" applyFont="1" applyBorder="1"/>
    <xf numFmtId="42" fontId="11" fillId="0" borderId="2" xfId="0" applyNumberFormat="1" applyFont="1" applyBorder="1"/>
    <xf numFmtId="0" fontId="5" fillId="0" borderId="16" xfId="0" applyFont="1" applyBorder="1"/>
    <xf numFmtId="166" fontId="10" fillId="0" borderId="2" xfId="8" applyNumberFormat="1" applyFont="1" applyBorder="1"/>
    <xf numFmtId="168" fontId="4" fillId="0" borderId="0" xfId="8" applyNumberFormat="1" applyFont="1" applyAlignment="1">
      <alignment horizontal="center"/>
    </xf>
    <xf numFmtId="42" fontId="4" fillId="0" borderId="0" xfId="8" applyNumberFormat="1" applyFont="1" applyBorder="1"/>
    <xf numFmtId="174" fontId="4" fillId="0" borderId="0" xfId="0" applyNumberFormat="1" applyFont="1" applyAlignment="1">
      <alignment horizontal="left"/>
    </xf>
    <xf numFmtId="165" fontId="4" fillId="0" borderId="0" xfId="8" applyFont="1"/>
    <xf numFmtId="165" fontId="4" fillId="0" borderId="0" xfId="0" applyNumberFormat="1" applyFont="1"/>
    <xf numFmtId="0" fontId="5" fillId="0" borderId="16" xfId="0" applyFont="1" applyBorder="1" applyAlignment="1">
      <alignment horizontal="left" vertical="center"/>
    </xf>
    <xf numFmtId="0" fontId="11" fillId="0" borderId="0" xfId="0" applyFont="1" applyAlignment="1">
      <alignment horizontal="center"/>
    </xf>
    <xf numFmtId="175" fontId="4" fillId="0" borderId="0" xfId="1" applyNumberFormat="1" applyFont="1"/>
    <xf numFmtId="164" fontId="5" fillId="0" borderId="8" xfId="0" applyNumberFormat="1" applyFont="1" applyBorder="1" applyAlignment="1">
      <alignment horizontal="center"/>
    </xf>
    <xf numFmtId="42" fontId="11" fillId="0" borderId="2" xfId="0" applyNumberFormat="1" applyFont="1" applyBorder="1" applyAlignment="1">
      <alignment horizontal="right"/>
    </xf>
    <xf numFmtId="0" fontId="11" fillId="0" borderId="2" xfId="0" applyFont="1" applyBorder="1" applyAlignment="1">
      <alignment horizontal="right"/>
    </xf>
    <xf numFmtId="166" fontId="11" fillId="0" borderId="2" xfId="8" applyNumberFormat="1" applyFont="1" applyBorder="1" applyAlignment="1">
      <alignment horizontal="right"/>
    </xf>
    <xf numFmtId="42" fontId="10" fillId="0" borderId="0" xfId="8" applyNumberFormat="1" applyFont="1" applyBorder="1" applyAlignment="1">
      <alignment horizontal="right"/>
    </xf>
    <xf numFmtId="166" fontId="10" fillId="0" borderId="0" xfId="8" applyNumberFormat="1" applyFont="1" applyBorder="1" applyAlignment="1">
      <alignment horizontal="right"/>
    </xf>
    <xf numFmtId="42" fontId="10" fillId="0" borderId="6" xfId="8" applyNumberFormat="1" applyFont="1" applyBorder="1" applyAlignment="1">
      <alignment horizontal="right"/>
    </xf>
    <xf numFmtId="14" fontId="10" fillId="0" borderId="6" xfId="0" applyNumberFormat="1" applyFont="1" applyBorder="1" applyAlignment="1">
      <alignment horizontal="right"/>
    </xf>
    <xf numFmtId="166" fontId="10" fillId="0" borderId="6" xfId="8" applyNumberFormat="1" applyFont="1" applyBorder="1" applyAlignment="1">
      <alignment horizontal="right"/>
    </xf>
    <xf numFmtId="0" fontId="4" fillId="0" borderId="2" xfId="0" applyFont="1" applyBorder="1" applyAlignment="1">
      <alignment horizontal="right"/>
    </xf>
    <xf numFmtId="1" fontId="10" fillId="0" borderId="6" xfId="8" applyNumberFormat="1" applyFont="1" applyBorder="1" applyAlignment="1">
      <alignment horizontal="right"/>
    </xf>
    <xf numFmtId="42" fontId="10" fillId="0" borderId="6" xfId="0" applyNumberFormat="1" applyFont="1" applyBorder="1" applyAlignment="1">
      <alignment horizontal="right"/>
    </xf>
    <xf numFmtId="14" fontId="5" fillId="0" borderId="0" xfId="0" applyNumberFormat="1" applyFont="1" applyAlignment="1">
      <alignment horizontal="right"/>
    </xf>
    <xf numFmtId="0" fontId="0" fillId="0" borderId="0" xfId="0" applyAlignment="1">
      <alignment horizontal="right"/>
    </xf>
    <xf numFmtId="0" fontId="1" fillId="0" borderId="0" xfId="0" applyFont="1"/>
    <xf numFmtId="43" fontId="4" fillId="0" borderId="0" xfId="1" applyFont="1"/>
    <xf numFmtId="164" fontId="4" fillId="0" borderId="0" xfId="23" applyNumberFormat="1" applyFont="1" applyBorder="1" applyAlignment="1">
      <alignment horizontal="right"/>
    </xf>
    <xf numFmtId="166" fontId="5" fillId="0" borderId="0" xfId="8" applyNumberFormat="1" applyFont="1" applyBorder="1"/>
    <xf numFmtId="175" fontId="4" fillId="0" borderId="0" xfId="1" applyNumberFormat="1" applyFont="1" applyBorder="1"/>
    <xf numFmtId="166" fontId="4" fillId="0" borderId="0" xfId="48" applyNumberFormat="1" applyFont="1"/>
    <xf numFmtId="164" fontId="0" fillId="0" borderId="0" xfId="0" applyNumberFormat="1"/>
    <xf numFmtId="164" fontId="5" fillId="0" borderId="9" xfId="0" applyNumberFormat="1" applyFont="1" applyBorder="1" applyAlignment="1">
      <alignment horizontal="right"/>
    </xf>
    <xf numFmtId="164" fontId="4" fillId="0" borderId="0" xfId="48" applyNumberFormat="1" applyFont="1"/>
    <xf numFmtId="0" fontId="4" fillId="0" borderId="17" xfId="0" applyFont="1" applyBorder="1"/>
    <xf numFmtId="0" fontId="4" fillId="0" borderId="18" xfId="0" applyFont="1" applyBorder="1"/>
    <xf numFmtId="44" fontId="0" fillId="0" borderId="0" xfId="0" applyNumberFormat="1"/>
    <xf numFmtId="164" fontId="5" fillId="0" borderId="19" xfId="0" applyNumberFormat="1" applyFont="1" applyBorder="1" applyAlignment="1">
      <alignment horizontal="right"/>
    </xf>
    <xf numFmtId="14" fontId="0" fillId="0" borderId="0" xfId="0" applyNumberFormat="1"/>
    <xf numFmtId="2" fontId="6" fillId="0" borderId="0" xfId="0" applyNumberFormat="1" applyFont="1" applyAlignment="1">
      <alignment horizontal="center"/>
    </xf>
    <xf numFmtId="0" fontId="20" fillId="0" borderId="0" xfId="0" applyFont="1"/>
    <xf numFmtId="43" fontId="5" fillId="0" borderId="2" xfId="1" applyFont="1" applyBorder="1" applyAlignment="1">
      <alignment horizontal="center"/>
    </xf>
    <xf numFmtId="175" fontId="0" fillId="0" borderId="0" xfId="1" applyNumberFormat="1" applyFont="1"/>
    <xf numFmtId="44" fontId="5" fillId="0" borderId="0" xfId="23" applyFont="1" applyBorder="1" applyAlignment="1">
      <alignment horizontal="center"/>
    </xf>
    <xf numFmtId="171" fontId="5" fillId="0" borderId="0" xfId="48" applyNumberFormat="1" applyFont="1" applyAlignment="1">
      <alignment horizontal="center"/>
    </xf>
    <xf numFmtId="176" fontId="5" fillId="0" borderId="0" xfId="48" applyNumberFormat="1" applyFont="1" applyAlignment="1">
      <alignment horizontal="center"/>
    </xf>
    <xf numFmtId="171" fontId="4" fillId="0" borderId="0" xfId="48" applyNumberFormat="1" applyFont="1" applyAlignment="1">
      <alignment horizontal="center"/>
    </xf>
    <xf numFmtId="176" fontId="4" fillId="0" borderId="0" xfId="48" applyNumberFormat="1" applyFont="1" applyAlignment="1">
      <alignment horizontal="center"/>
    </xf>
    <xf numFmtId="0" fontId="21" fillId="0" borderId="0" xfId="0" applyFont="1" applyAlignment="1">
      <alignment horizontal="left"/>
    </xf>
    <xf numFmtId="164" fontId="5" fillId="0" borderId="0" xfId="8" applyNumberFormat="1" applyFont="1" applyBorder="1" applyAlignment="1">
      <alignment horizontal="right"/>
    </xf>
    <xf numFmtId="0" fontId="5" fillId="0" borderId="0" xfId="8" applyNumberFormat="1" applyFont="1" applyAlignment="1">
      <alignment horizontal="center"/>
    </xf>
    <xf numFmtId="166" fontId="5" fillId="0" borderId="0" xfId="8" applyNumberFormat="1" applyFont="1" applyAlignment="1">
      <alignment horizontal="center"/>
    </xf>
    <xf numFmtId="0" fontId="5" fillId="0" borderId="1" xfId="0" applyFont="1" applyBorder="1" applyAlignment="1">
      <alignment horizontal="right"/>
    </xf>
    <xf numFmtId="164" fontId="5" fillId="0" borderId="2" xfId="0" applyNumberFormat="1" applyFont="1" applyBorder="1" applyAlignment="1">
      <alignment horizontal="right"/>
    </xf>
    <xf numFmtId="42" fontId="5" fillId="0" borderId="2" xfId="0" applyNumberFormat="1" applyFont="1" applyBorder="1" applyAlignment="1">
      <alignment horizontal="right"/>
    </xf>
    <xf numFmtId="6" fontId="5" fillId="0" borderId="2" xfId="0" applyNumberFormat="1" applyFont="1" applyBorder="1" applyAlignment="1">
      <alignment horizontal="right"/>
    </xf>
    <xf numFmtId="168" fontId="5" fillId="0" borderId="2" xfId="0" applyNumberFormat="1" applyFont="1" applyBorder="1" applyAlignment="1">
      <alignment horizontal="right"/>
    </xf>
    <xf numFmtId="44" fontId="5" fillId="0" borderId="2" xfId="0" applyNumberFormat="1" applyFont="1" applyBorder="1" applyAlignment="1">
      <alignment horizontal="right"/>
    </xf>
    <xf numFmtId="42" fontId="4" fillId="0" borderId="2" xfId="0" applyNumberFormat="1" applyFont="1" applyBorder="1" applyAlignment="1">
      <alignment horizontal="right"/>
    </xf>
    <xf numFmtId="42" fontId="4" fillId="0" borderId="2" xfId="8" applyNumberFormat="1" applyFont="1" applyBorder="1"/>
    <xf numFmtId="42" fontId="4" fillId="0" borderId="3" xfId="8" applyNumberFormat="1" applyFont="1" applyBorder="1"/>
    <xf numFmtId="42" fontId="4" fillId="0" borderId="3" xfId="0" applyNumberFormat="1" applyFont="1" applyBorder="1"/>
    <xf numFmtId="0" fontId="5" fillId="0" borderId="4" xfId="0" applyFont="1" applyBorder="1" applyAlignment="1">
      <alignment horizontal="right"/>
    </xf>
    <xf numFmtId="42" fontId="4" fillId="0" borderId="5" xfId="8" applyNumberFormat="1" applyFont="1" applyBorder="1"/>
    <xf numFmtId="42" fontId="4" fillId="0" borderId="5" xfId="0" applyNumberFormat="1" applyFont="1" applyBorder="1"/>
    <xf numFmtId="0" fontId="5" fillId="0" borderId="7" xfId="0" applyFont="1" applyBorder="1" applyAlignment="1">
      <alignment horizontal="right"/>
    </xf>
    <xf numFmtId="164" fontId="5" fillId="0" borderId="6" xfId="0" applyNumberFormat="1" applyFont="1" applyBorder="1" applyAlignment="1">
      <alignment horizontal="right"/>
    </xf>
    <xf numFmtId="42" fontId="5" fillId="0" borderId="6" xfId="0" applyNumberFormat="1" applyFont="1" applyBorder="1" applyAlignment="1">
      <alignment horizontal="right"/>
    </xf>
    <xf numFmtId="42" fontId="5" fillId="0" borderId="20" xfId="0" applyNumberFormat="1" applyFont="1" applyBorder="1" applyAlignment="1">
      <alignment horizontal="right"/>
    </xf>
    <xf numFmtId="44" fontId="5" fillId="0" borderId="20" xfId="0" applyNumberFormat="1" applyFont="1" applyBorder="1" applyAlignment="1">
      <alignment horizontal="right"/>
    </xf>
    <xf numFmtId="164" fontId="5" fillId="0" borderId="20" xfId="0" applyNumberFormat="1" applyFont="1" applyBorder="1" applyAlignment="1">
      <alignment horizontal="right"/>
    </xf>
    <xf numFmtId="164" fontId="4" fillId="0" borderId="20" xfId="8" applyNumberFormat="1" applyFont="1" applyBorder="1"/>
    <xf numFmtId="42" fontId="4" fillId="0" borderId="20" xfId="8" applyNumberFormat="1" applyFont="1" applyBorder="1"/>
    <xf numFmtId="42" fontId="4" fillId="0" borderId="21" xfId="8" applyNumberFormat="1" applyFont="1" applyBorder="1"/>
    <xf numFmtId="169" fontId="5" fillId="0" borderId="0" xfId="48" applyNumberFormat="1" applyFont="1" applyBorder="1" applyAlignment="1">
      <alignment horizontal="right"/>
    </xf>
    <xf numFmtId="10" fontId="5" fillId="0" borderId="0" xfId="48" applyNumberFormat="1" applyFont="1" applyBorder="1" applyAlignment="1">
      <alignment horizontal="right"/>
    </xf>
    <xf numFmtId="42" fontId="4" fillId="0" borderId="22" xfId="0" applyNumberFormat="1" applyFont="1" applyBorder="1"/>
    <xf numFmtId="0" fontId="4" fillId="0" borderId="4" xfId="0" applyFont="1" applyBorder="1" applyAlignment="1">
      <alignment horizontal="right"/>
    </xf>
    <xf numFmtId="42" fontId="4" fillId="0" borderId="22" xfId="8" applyNumberFormat="1" applyFont="1" applyBorder="1"/>
    <xf numFmtId="44" fontId="4" fillId="0" borderId="0" xfId="8" applyNumberFormat="1" applyFont="1" applyBorder="1" applyAlignment="1">
      <alignment horizontal="right"/>
    </xf>
    <xf numFmtId="0" fontId="4" fillId="0" borderId="4" xfId="0" applyFont="1" applyBorder="1"/>
    <xf numFmtId="42" fontId="17" fillId="0" borderId="0" xfId="8" applyNumberFormat="1" applyFont="1" applyBorder="1"/>
    <xf numFmtId="0" fontId="4" fillId="0" borderId="23" xfId="0" applyFont="1" applyBorder="1"/>
    <xf numFmtId="42" fontId="4" fillId="0" borderId="20" xfId="0" applyNumberFormat="1" applyFont="1" applyBorder="1"/>
    <xf numFmtId="42" fontId="4" fillId="0" borderId="21" xfId="0" applyNumberFormat="1" applyFont="1" applyBorder="1"/>
    <xf numFmtId="42" fontId="4" fillId="0" borderId="12" xfId="0" applyNumberFormat="1" applyFont="1" applyBorder="1"/>
    <xf numFmtId="42" fontId="4" fillId="0" borderId="24" xfId="0" applyNumberFormat="1" applyFont="1" applyBorder="1"/>
    <xf numFmtId="42" fontId="0" fillId="0" borderId="0" xfId="0" applyNumberFormat="1"/>
    <xf numFmtId="164" fontId="7" fillId="0" borderId="0" xfId="0" applyNumberFormat="1" applyFont="1"/>
    <xf numFmtId="168" fontId="4" fillId="0" borderId="0" xfId="0" applyNumberFormat="1" applyFont="1"/>
    <xf numFmtId="42" fontId="4" fillId="0" borderId="0" xfId="48" applyNumberFormat="1" applyFont="1"/>
    <xf numFmtId="0" fontId="18" fillId="0" borderId="0" xfId="0" applyFont="1"/>
    <xf numFmtId="42" fontId="4" fillId="0" borderId="9" xfId="48" applyNumberFormat="1" applyFont="1" applyBorder="1"/>
    <xf numFmtId="169" fontId="4" fillId="0" borderId="9" xfId="48" applyNumberFormat="1" applyFont="1" applyBorder="1"/>
    <xf numFmtId="8" fontId="18" fillId="0" borderId="0" xfId="0" applyNumberFormat="1" applyFont="1"/>
    <xf numFmtId="8" fontId="4" fillId="0" borderId="0" xfId="0" applyNumberFormat="1" applyFont="1"/>
    <xf numFmtId="42" fontId="0" fillId="0" borderId="0" xfId="8" applyNumberFormat="1" applyFont="1"/>
    <xf numFmtId="165" fontId="0" fillId="0" borderId="0" xfId="8" applyFont="1"/>
    <xf numFmtId="175" fontId="5" fillId="0" borderId="0" xfId="1" applyNumberFormat="1" applyFont="1" applyBorder="1" applyAlignment="1">
      <alignment horizontal="center"/>
    </xf>
    <xf numFmtId="175" fontId="5" fillId="0" borderId="0" xfId="0" applyNumberFormat="1" applyFont="1"/>
    <xf numFmtId="175" fontId="5" fillId="0" borderId="0" xfId="0" applyNumberFormat="1" applyFont="1" applyAlignment="1">
      <alignment horizontal="center"/>
    </xf>
    <xf numFmtId="164" fontId="4" fillId="0" borderId="9" xfId="8" applyNumberFormat="1" applyFont="1" applyBorder="1" applyAlignment="1">
      <alignment horizontal="right"/>
    </xf>
    <xf numFmtId="166" fontId="5" fillId="0" borderId="0" xfId="0" applyNumberFormat="1" applyFont="1" applyAlignment="1">
      <alignment horizontal="center"/>
    </xf>
    <xf numFmtId="1" fontId="0" fillId="0" borderId="0" xfId="0" applyNumberFormat="1"/>
    <xf numFmtId="14" fontId="4" fillId="0" borderId="0" xfId="48" applyNumberFormat="1" applyFont="1"/>
    <xf numFmtId="6" fontId="5" fillId="0" borderId="0" xfId="0" applyNumberFormat="1" applyFont="1" applyAlignment="1">
      <alignment horizontal="right"/>
    </xf>
    <xf numFmtId="168" fontId="5" fillId="0" borderId="0" xfId="0" applyNumberFormat="1" applyFont="1" applyAlignment="1">
      <alignment horizontal="right"/>
    </xf>
    <xf numFmtId="44" fontId="5" fillId="0" borderId="0" xfId="0" applyNumberFormat="1" applyFont="1" applyAlignment="1">
      <alignment horizontal="right"/>
    </xf>
    <xf numFmtId="6" fontId="4" fillId="0" borderId="0" xfId="0" applyNumberFormat="1" applyFont="1" applyAlignment="1">
      <alignment horizontal="right"/>
    </xf>
    <xf numFmtId="6" fontId="5" fillId="0" borderId="0" xfId="0" applyNumberFormat="1" applyFont="1"/>
    <xf numFmtId="0" fontId="11" fillId="0" borderId="3" xfId="0" applyFont="1" applyBorder="1"/>
    <xf numFmtId="0" fontId="10" fillId="0" borderId="0" xfId="0" applyFont="1" applyAlignment="1">
      <alignment horizontal="center" vertical="center"/>
    </xf>
    <xf numFmtId="0" fontId="10" fillId="0" borderId="0" xfId="0" applyFont="1" applyAlignment="1">
      <alignment horizontal="center"/>
    </xf>
    <xf numFmtId="5" fontId="10" fillId="0" borderId="0" xfId="0" applyNumberFormat="1" applyFont="1" applyAlignment="1">
      <alignment horizontal="center"/>
    </xf>
    <xf numFmtId="14" fontId="10" fillId="0" borderId="0" xfId="0" applyNumberFormat="1" applyFont="1" applyAlignment="1">
      <alignment horizontal="right"/>
    </xf>
    <xf numFmtId="42" fontId="10" fillId="0" borderId="0" xfId="0" applyNumberFormat="1" applyFont="1" applyAlignment="1">
      <alignment horizontal="right"/>
    </xf>
    <xf numFmtId="14" fontId="10" fillId="0" borderId="5" xfId="0" applyNumberFormat="1" applyFont="1" applyBorder="1"/>
    <xf numFmtId="0" fontId="11" fillId="0" borderId="0" xfId="0" applyFont="1" applyAlignment="1">
      <alignment horizontal="center" vertical="center"/>
    </xf>
    <xf numFmtId="14" fontId="10" fillId="0" borderId="8" xfId="0" applyNumberFormat="1" applyFont="1" applyBorder="1"/>
    <xf numFmtId="0" fontId="4" fillId="0" borderId="3" xfId="0" applyFont="1" applyBorder="1"/>
    <xf numFmtId="5" fontId="10" fillId="0" borderId="0" xfId="0" applyNumberFormat="1" applyFont="1" applyAlignment="1">
      <alignment horizontal="left"/>
    </xf>
    <xf numFmtId="5" fontId="5" fillId="0" borderId="0" xfId="0" applyNumberFormat="1" applyFont="1" applyAlignment="1">
      <alignment horizontal="left"/>
    </xf>
    <xf numFmtId="14" fontId="5" fillId="0" borderId="2" xfId="0" applyNumberFormat="1"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4" fillId="0" borderId="5" xfId="0" applyFont="1" applyBorder="1"/>
    <xf numFmtId="0" fontId="21" fillId="0" borderId="0" xfId="0" applyFont="1"/>
    <xf numFmtId="164" fontId="4" fillId="0" borderId="0" xfId="8" applyNumberFormat="1" applyFont="1" applyFill="1" applyBorder="1" applyAlignment="1">
      <alignment horizontal="center"/>
    </xf>
    <xf numFmtId="14" fontId="0" fillId="0" borderId="0" xfId="0" applyNumberFormat="1" applyAlignment="1">
      <alignment horizontal="right"/>
    </xf>
    <xf numFmtId="0" fontId="5" fillId="0" borderId="2" xfId="0" applyFont="1" applyBorder="1" applyAlignment="1">
      <alignment horizontal="left"/>
    </xf>
    <xf numFmtId="5" fontId="4" fillId="0" borderId="0" xfId="48" applyNumberFormat="1" applyFont="1"/>
    <xf numFmtId="14" fontId="4" fillId="0" borderId="0" xfId="8" applyNumberFormat="1" applyFont="1" applyBorder="1" applyAlignment="1">
      <alignment horizontal="right"/>
    </xf>
    <xf numFmtId="0" fontId="9" fillId="0" borderId="11" xfId="0" applyFont="1" applyBorder="1" applyAlignment="1">
      <alignment horizontal="center"/>
    </xf>
    <xf numFmtId="164" fontId="4" fillId="2" borderId="0" xfId="0" applyNumberFormat="1" applyFont="1" applyFill="1" applyAlignment="1">
      <alignment horizontal="center"/>
    </xf>
    <xf numFmtId="0" fontId="4" fillId="2" borderId="0" xfId="0" applyFont="1" applyFill="1" applyAlignment="1">
      <alignment horizontal="center"/>
    </xf>
    <xf numFmtId="0" fontId="5" fillId="0" borderId="11" xfId="0" applyFont="1" applyBorder="1" applyAlignment="1">
      <alignment horizontal="right"/>
    </xf>
    <xf numFmtId="164" fontId="4" fillId="2" borderId="0" xfId="8" applyNumberFormat="1" applyFont="1" applyFill="1" applyAlignment="1">
      <alignment horizontal="left"/>
    </xf>
    <xf numFmtId="0" fontId="4" fillId="2" borderId="25" xfId="0" applyFont="1" applyFill="1" applyBorder="1" applyAlignment="1">
      <alignment horizontal="center"/>
    </xf>
    <xf numFmtId="42" fontId="5" fillId="2" borderId="25" xfId="0" applyNumberFormat="1" applyFont="1" applyFill="1" applyBorder="1" applyAlignment="1">
      <alignment horizontal="center"/>
    </xf>
    <xf numFmtId="164" fontId="4" fillId="2" borderId="0" xfId="0" applyNumberFormat="1" applyFont="1" applyFill="1"/>
    <xf numFmtId="42" fontId="4" fillId="0" borderId="0" xfId="8" applyNumberFormat="1" applyFont="1" applyFill="1" applyAlignment="1">
      <alignment horizontal="center"/>
    </xf>
    <xf numFmtId="5" fontId="4" fillId="0" borderId="0" xfId="8" applyNumberFormat="1" applyFont="1" applyAlignment="1">
      <alignment horizontal="center"/>
    </xf>
    <xf numFmtId="42" fontId="0" fillId="0" borderId="11" xfId="0" applyNumberFormat="1" applyBorder="1"/>
    <xf numFmtId="42" fontId="0" fillId="3" borderId="0" xfId="0" applyNumberFormat="1" applyFill="1"/>
    <xf numFmtId="164" fontId="4" fillId="0" borderId="26" xfId="8" applyNumberFormat="1" applyFont="1" applyBorder="1" applyAlignment="1">
      <alignment horizontal="center"/>
    </xf>
    <xf numFmtId="164" fontId="5" fillId="0" borderId="26" xfId="8" applyNumberFormat="1" applyFont="1" applyFill="1" applyBorder="1" applyAlignment="1">
      <alignment horizontal="center"/>
    </xf>
    <xf numFmtId="164" fontId="5" fillId="0" borderId="25" xfId="0" applyNumberFormat="1" applyFont="1" applyBorder="1" applyAlignment="1">
      <alignment horizontal="right"/>
    </xf>
    <xf numFmtId="164" fontId="5" fillId="0" borderId="27" xfId="0" applyNumberFormat="1" applyFont="1" applyBorder="1" applyAlignment="1">
      <alignment horizontal="right"/>
    </xf>
    <xf numFmtId="164" fontId="4" fillId="0" borderId="15" xfId="0" applyNumberFormat="1" applyFont="1" applyBorder="1" applyAlignment="1">
      <alignment horizontal="right"/>
    </xf>
    <xf numFmtId="164" fontId="4" fillId="0" borderId="0" xfId="0" quotePrefix="1" applyNumberFormat="1" applyFont="1" applyAlignment="1">
      <alignment horizontal="right"/>
    </xf>
    <xf numFmtId="164" fontId="4" fillId="0" borderId="28" xfId="0" applyNumberFormat="1" applyFont="1" applyBorder="1" applyAlignment="1">
      <alignment horizontal="right"/>
    </xf>
    <xf numFmtId="166" fontId="4" fillId="0" borderId="0" xfId="8" applyNumberFormat="1" applyFont="1" applyFill="1" applyBorder="1" applyAlignment="1">
      <alignment horizontal="center"/>
    </xf>
    <xf numFmtId="164" fontId="4" fillId="2" borderId="0" xfId="1" applyNumberFormat="1" applyFont="1" applyFill="1" applyBorder="1"/>
    <xf numFmtId="42" fontId="5" fillId="0" borderId="2" xfId="0" applyNumberFormat="1" applyFont="1" applyBorder="1" applyAlignment="1">
      <alignment horizontal="center"/>
    </xf>
    <xf numFmtId="175" fontId="4" fillId="0" borderId="2" xfId="1" applyNumberFormat="1" applyFont="1" applyBorder="1" applyAlignment="1">
      <alignment horizontal="center"/>
    </xf>
    <xf numFmtId="175" fontId="4" fillId="0" borderId="0" xfId="1" applyNumberFormat="1" applyFont="1" applyBorder="1" applyAlignment="1">
      <alignment horizontal="center"/>
    </xf>
    <xf numFmtId="175" fontId="5" fillId="0" borderId="6" xfId="1" applyNumberFormat="1" applyFont="1" applyBorder="1" applyAlignment="1">
      <alignment horizontal="center"/>
    </xf>
    <xf numFmtId="164" fontId="4" fillId="0" borderId="0" xfId="1" applyNumberFormat="1" applyFont="1"/>
    <xf numFmtId="16" fontId="5" fillId="0" borderId="0" xfId="0" applyNumberFormat="1" applyFont="1" applyAlignment="1">
      <alignment horizontal="left"/>
    </xf>
    <xf numFmtId="0" fontId="5" fillId="0" borderId="26" xfId="0" applyFont="1" applyBorder="1" applyAlignment="1">
      <alignment horizontal="center"/>
    </xf>
    <xf numFmtId="0" fontId="5" fillId="0" borderId="29" xfId="0" applyFont="1" applyBorder="1" applyAlignment="1">
      <alignment horizontal="center"/>
    </xf>
    <xf numFmtId="164" fontId="5" fillId="0" borderId="13" xfId="0" applyNumberFormat="1" applyFont="1" applyBorder="1"/>
    <xf numFmtId="0" fontId="4" fillId="0" borderId="13" xfId="0" applyFont="1" applyBorder="1"/>
    <xf numFmtId="164" fontId="4" fillId="0" borderId="13" xfId="0" applyNumberFormat="1" applyFont="1" applyBorder="1"/>
    <xf numFmtId="42" fontId="4" fillId="0" borderId="13" xfId="0" applyNumberFormat="1" applyFont="1" applyBorder="1"/>
    <xf numFmtId="0" fontId="22" fillId="0" borderId="0" xfId="0" applyFont="1"/>
    <xf numFmtId="44" fontId="5" fillId="0" borderId="9" xfId="0" applyNumberFormat="1" applyFont="1" applyBorder="1" applyAlignment="1">
      <alignment horizontal="right"/>
    </xf>
    <xf numFmtId="0" fontId="1" fillId="0" borderId="0" xfId="0" applyFont="1" applyAlignment="1">
      <alignment horizontal="right"/>
    </xf>
    <xf numFmtId="44" fontId="4" fillId="0" borderId="14" xfId="0" applyNumberFormat="1" applyFont="1" applyBorder="1" applyAlignment="1">
      <alignment horizontal="right"/>
    </xf>
    <xf numFmtId="165" fontId="5" fillId="0" borderId="2" xfId="8" applyFont="1" applyBorder="1" applyAlignment="1">
      <alignment horizontal="center"/>
    </xf>
    <xf numFmtId="44" fontId="5" fillId="0" borderId="2" xfId="8" applyNumberFormat="1" applyFont="1" applyBorder="1" applyAlignment="1">
      <alignment horizontal="center"/>
    </xf>
    <xf numFmtId="0" fontId="5" fillId="0" borderId="30" xfId="0" applyFont="1" applyBorder="1" applyAlignment="1">
      <alignment horizontal="center"/>
    </xf>
    <xf numFmtId="0" fontId="5"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10" fontId="4" fillId="0" borderId="15" xfId="48" applyNumberFormat="1" applyFont="1" applyBorder="1"/>
    <xf numFmtId="0" fontId="4" fillId="0" borderId="31" xfId="0" applyFont="1" applyBorder="1"/>
    <xf numFmtId="10" fontId="4" fillId="0" borderId="32" xfId="48" applyNumberFormat="1" applyFont="1" applyBorder="1"/>
    <xf numFmtId="42" fontId="10" fillId="0" borderId="33" xfId="0" applyNumberFormat="1" applyFont="1" applyBorder="1" applyAlignment="1">
      <alignment horizontal="center"/>
    </xf>
    <xf numFmtId="42" fontId="10" fillId="0" borderId="34" xfId="0" applyNumberFormat="1" applyFont="1" applyBorder="1" applyAlignment="1">
      <alignment horizontal="center"/>
    </xf>
    <xf numFmtId="42" fontId="10" fillId="0" borderId="35" xfId="0" applyNumberFormat="1" applyFont="1" applyBorder="1" applyAlignment="1">
      <alignment horizontal="center"/>
    </xf>
    <xf numFmtId="168" fontId="4" fillId="0" borderId="20" xfId="0" applyNumberFormat="1" applyFont="1" applyBorder="1"/>
    <xf numFmtId="44" fontId="4" fillId="0" borderId="12" xfId="0" applyNumberFormat="1" applyFont="1" applyBorder="1"/>
    <xf numFmtId="44" fontId="5" fillId="0" borderId="9" xfId="0" applyNumberFormat="1" applyFont="1" applyBorder="1"/>
    <xf numFmtId="164" fontId="4" fillId="0" borderId="12" xfId="0" applyNumberFormat="1" applyFont="1" applyBorder="1"/>
    <xf numFmtId="164" fontId="4" fillId="0" borderId="0" xfId="8" applyNumberFormat="1" applyFont="1" applyFill="1" applyBorder="1" applyAlignment="1">
      <alignment horizontal="left"/>
    </xf>
    <xf numFmtId="164" fontId="5" fillId="0" borderId="0" xfId="8" applyNumberFormat="1" applyFont="1" applyFill="1" applyBorder="1" applyAlignment="1">
      <alignment horizontal="center"/>
    </xf>
    <xf numFmtId="44" fontId="4" fillId="0" borderId="0" xfId="8" applyNumberFormat="1" applyFont="1" applyFill="1" applyBorder="1" applyAlignment="1">
      <alignment horizontal="center"/>
    </xf>
    <xf numFmtId="164" fontId="4" fillId="2" borderId="25" xfId="0" applyNumberFormat="1" applyFont="1" applyFill="1" applyBorder="1" applyAlignment="1">
      <alignment horizontal="center"/>
    </xf>
    <xf numFmtId="42" fontId="5" fillId="0" borderId="0" xfId="8" applyNumberFormat="1" applyFont="1" applyFill="1" applyBorder="1" applyAlignment="1">
      <alignment horizontal="center"/>
    </xf>
    <xf numFmtId="14" fontId="4" fillId="0" borderId="0" xfId="1" applyNumberFormat="1" applyFont="1"/>
    <xf numFmtId="164" fontId="21" fillId="0" borderId="0" xfId="8" applyNumberFormat="1" applyFont="1" applyFill="1" applyBorder="1" applyAlignment="1">
      <alignment horizontal="center"/>
    </xf>
    <xf numFmtId="178" fontId="4" fillId="0" borderId="0" xfId="0" applyNumberFormat="1" applyFont="1" applyAlignment="1">
      <alignment horizontal="center"/>
    </xf>
    <xf numFmtId="44" fontId="4" fillId="0" borderId="9" xfId="8" applyNumberFormat="1" applyFont="1" applyBorder="1" applyAlignment="1">
      <alignment horizontal="right"/>
    </xf>
    <xf numFmtId="44" fontId="13" fillId="0" borderId="0" xfId="0" applyNumberFormat="1" applyFont="1"/>
    <xf numFmtId="14" fontId="4" fillId="0" borderId="0" xfId="8" applyNumberFormat="1" applyFont="1" applyFill="1" applyBorder="1" applyAlignment="1">
      <alignment horizontal="center"/>
    </xf>
    <xf numFmtId="166" fontId="22" fillId="0" borderId="0" xfId="8" applyNumberFormat="1" applyFont="1" applyBorder="1" applyAlignment="1">
      <alignment horizontal="center"/>
    </xf>
    <xf numFmtId="165" fontId="4" fillId="0" borderId="0" xfId="8" applyFont="1" applyFill="1" applyBorder="1" applyAlignment="1">
      <alignment horizontal="center"/>
    </xf>
    <xf numFmtId="14" fontId="5" fillId="0" borderId="2" xfId="23" applyNumberFormat="1" applyFont="1" applyBorder="1" applyAlignment="1">
      <alignment horizontal="right"/>
    </xf>
    <xf numFmtId="14" fontId="5" fillId="0" borderId="0" xfId="23" applyNumberFormat="1" applyFont="1" applyBorder="1" applyAlignment="1">
      <alignment horizontal="right"/>
    </xf>
    <xf numFmtId="7" fontId="4" fillId="0" borderId="0" xfId="0" applyNumberFormat="1" applyFont="1"/>
    <xf numFmtId="8" fontId="0" fillId="0" borderId="0" xfId="0" applyNumberFormat="1"/>
    <xf numFmtId="165" fontId="0" fillId="0" borderId="0" xfId="0" applyNumberFormat="1"/>
    <xf numFmtId="6" fontId="21" fillId="0" borderId="0" xfId="0" applyNumberFormat="1" applyFont="1" applyAlignment="1">
      <alignment horizontal="center"/>
    </xf>
    <xf numFmtId="44" fontId="4" fillId="0" borderId="0" xfId="48" applyNumberFormat="1" applyFont="1" applyAlignment="1">
      <alignment horizontal="right"/>
    </xf>
    <xf numFmtId="0" fontId="11" fillId="0" borderId="2" xfId="0" applyFont="1" applyBorder="1" applyAlignment="1">
      <alignment horizontal="left"/>
    </xf>
    <xf numFmtId="42" fontId="10" fillId="0" borderId="0" xfId="0" applyNumberFormat="1" applyFont="1" applyAlignment="1">
      <alignment horizontal="left"/>
    </xf>
    <xf numFmtId="42" fontId="10" fillId="0" borderId="6" xfId="8" applyNumberFormat="1" applyFont="1" applyBorder="1" applyAlignment="1">
      <alignment horizontal="left"/>
    </xf>
    <xf numFmtId="42" fontId="10" fillId="0" borderId="0" xfId="0" applyNumberFormat="1" applyFont="1" applyAlignment="1">
      <alignment horizontal="center"/>
    </xf>
    <xf numFmtId="14" fontId="10" fillId="0" borderId="5" xfId="0" applyNumberFormat="1" applyFont="1" applyBorder="1" applyAlignment="1">
      <alignment horizontal="left"/>
    </xf>
    <xf numFmtId="14" fontId="10" fillId="0" borderId="8" xfId="0" applyNumberFormat="1" applyFont="1" applyBorder="1" applyAlignment="1">
      <alignment horizontal="left"/>
    </xf>
    <xf numFmtId="42" fontId="10" fillId="0" borderId="5" xfId="0" applyNumberFormat="1" applyFont="1" applyBorder="1" applyAlignment="1">
      <alignment horizontal="left"/>
    </xf>
    <xf numFmtId="42" fontId="10" fillId="0" borderId="8" xfId="8" applyNumberFormat="1" applyFont="1" applyBorder="1" applyAlignment="1">
      <alignment horizontal="left"/>
    </xf>
    <xf numFmtId="164" fontId="4" fillId="0" borderId="0" xfId="8" applyNumberFormat="1" applyFont="1" applyAlignment="1">
      <alignment horizontal="left"/>
    </xf>
    <xf numFmtId="44" fontId="24" fillId="0" borderId="0" xfId="0" applyNumberFormat="1" applyFont="1"/>
    <xf numFmtId="44" fontId="25" fillId="0" borderId="0" xfId="0" applyNumberFormat="1" applyFont="1"/>
    <xf numFmtId="0" fontId="22" fillId="0" borderId="0" xfId="0" applyFont="1" applyAlignment="1">
      <alignment horizontal="center"/>
    </xf>
    <xf numFmtId="164" fontId="26" fillId="0" borderId="0" xfId="0" applyNumberFormat="1" applyFont="1"/>
    <xf numFmtId="44" fontId="13" fillId="0" borderId="0" xfId="0" applyNumberFormat="1" applyFont="1" applyAlignment="1">
      <alignment horizontal="right"/>
    </xf>
    <xf numFmtId="164" fontId="13" fillId="0" borderId="0" xfId="0" applyNumberFormat="1" applyFont="1"/>
    <xf numFmtId="164" fontId="26" fillId="0" borderId="2" xfId="0" applyNumberFormat="1" applyFont="1" applyBorder="1"/>
    <xf numFmtId="14" fontId="5" fillId="0" borderId="8" xfId="0" applyNumberFormat="1" applyFont="1" applyBorder="1" applyAlignment="1">
      <alignment horizontal="center"/>
    </xf>
    <xf numFmtId="0" fontId="4" fillId="0" borderId="20" xfId="0" applyFont="1" applyBorder="1"/>
    <xf numFmtId="169" fontId="5" fillId="0" borderId="0" xfId="48" applyNumberFormat="1" applyFont="1" applyAlignment="1">
      <alignment horizontal="right"/>
    </xf>
    <xf numFmtId="166" fontId="21" fillId="0" borderId="0" xfId="8" applyNumberFormat="1" applyFont="1" applyBorder="1" applyAlignment="1">
      <alignment horizontal="center"/>
    </xf>
    <xf numFmtId="164" fontId="4" fillId="0" borderId="11" xfId="8" applyNumberFormat="1" applyFont="1" applyFill="1" applyBorder="1" applyAlignment="1">
      <alignment horizontal="center"/>
    </xf>
    <xf numFmtId="178" fontId="4" fillId="0" borderId="0" xfId="0" applyNumberFormat="1" applyFont="1"/>
    <xf numFmtId="44" fontId="4" fillId="0" borderId="0" xfId="1" applyNumberFormat="1" applyFont="1" applyBorder="1" applyAlignment="1">
      <alignment horizontal="left"/>
    </xf>
    <xf numFmtId="168" fontId="4" fillId="0" borderId="0" xfId="0" applyNumberFormat="1" applyFont="1" applyAlignment="1">
      <alignment horizontal="right"/>
    </xf>
    <xf numFmtId="3" fontId="4" fillId="0" borderId="0" xfId="0" applyNumberFormat="1" applyFont="1" applyAlignment="1">
      <alignment horizontal="center"/>
    </xf>
    <xf numFmtId="10" fontId="4" fillId="0" borderId="0" xfId="0" applyNumberFormat="1" applyFont="1"/>
    <xf numFmtId="179" fontId="4" fillId="0" borderId="0" xfId="48" applyNumberFormat="1" applyFont="1"/>
    <xf numFmtId="179" fontId="4" fillId="0" borderId="0" xfId="0" applyNumberFormat="1" applyFont="1"/>
    <xf numFmtId="14" fontId="4" fillId="0" borderId="0" xfId="8" applyNumberFormat="1" applyFont="1" applyAlignment="1">
      <alignment horizontal="center"/>
    </xf>
    <xf numFmtId="14" fontId="4" fillId="0" borderId="0" xfId="8" applyNumberFormat="1" applyFont="1" applyAlignment="1">
      <alignment horizontal="right"/>
    </xf>
    <xf numFmtId="6" fontId="0" fillId="0" borderId="0" xfId="0" applyNumberFormat="1"/>
    <xf numFmtId="43" fontId="4" fillId="0" borderId="0" xfId="8" applyNumberFormat="1" applyFont="1" applyFill="1" applyBorder="1" applyAlignment="1">
      <alignment horizontal="center"/>
    </xf>
    <xf numFmtId="168" fontId="4" fillId="0" borderId="0" xfId="0" applyNumberFormat="1" applyFont="1" applyAlignment="1">
      <alignment horizontal="center"/>
    </xf>
    <xf numFmtId="9" fontId="4" fillId="0" borderId="0" xfId="48" applyFont="1" applyAlignment="1">
      <alignment horizontal="right"/>
    </xf>
    <xf numFmtId="44" fontId="4" fillId="0" borderId="0" xfId="8" applyNumberFormat="1" applyFont="1" applyAlignment="1">
      <alignment horizontal="right"/>
    </xf>
    <xf numFmtId="6" fontId="4" fillId="0" borderId="0" xfId="8" applyNumberFormat="1" applyFont="1" applyAlignment="1">
      <alignment horizontal="center"/>
    </xf>
    <xf numFmtId="175" fontId="4" fillId="0" borderId="0" xfId="0" applyNumberFormat="1" applyFont="1"/>
    <xf numFmtId="175" fontId="4" fillId="0" borderId="0" xfId="8" applyNumberFormat="1" applyFont="1"/>
    <xf numFmtId="175" fontId="21" fillId="0" borderId="0" xfId="1" applyNumberFormat="1" applyFont="1"/>
    <xf numFmtId="164" fontId="5" fillId="0" borderId="0" xfId="8" applyNumberFormat="1" applyFont="1" applyFill="1" applyBorder="1" applyAlignment="1">
      <alignment horizontal="right"/>
    </xf>
    <xf numFmtId="44" fontId="5" fillId="0" borderId="6" xfId="0" applyNumberFormat="1" applyFont="1" applyBorder="1" applyAlignment="1">
      <alignment horizontal="right"/>
    </xf>
    <xf numFmtId="9" fontId="4" fillId="0" borderId="0" xfId="48" applyFont="1" applyAlignment="1">
      <alignment horizontal="center"/>
    </xf>
    <xf numFmtId="165" fontId="21" fillId="0" borderId="0" xfId="8" applyFont="1" applyBorder="1" applyAlignment="1">
      <alignment horizontal="left"/>
    </xf>
    <xf numFmtId="180" fontId="4" fillId="0" borderId="0" xfId="0" applyNumberFormat="1" applyFont="1"/>
    <xf numFmtId="2" fontId="4" fillId="0" borderId="0" xfId="8" applyNumberFormat="1" applyFont="1" applyAlignment="1">
      <alignment horizontal="right"/>
    </xf>
    <xf numFmtId="44" fontId="1" fillId="0" borderId="0" xfId="0" applyNumberFormat="1" applyFont="1" applyAlignment="1">
      <alignment horizontal="right"/>
    </xf>
    <xf numFmtId="44" fontId="5" fillId="0" borderId="12" xfId="0" applyNumberFormat="1" applyFont="1" applyBorder="1"/>
    <xf numFmtId="164" fontId="4" fillId="0" borderId="13" xfId="0" applyNumberFormat="1" applyFont="1" applyBorder="1" applyAlignment="1">
      <alignment horizontal="center"/>
    </xf>
    <xf numFmtId="164" fontId="4" fillId="0" borderId="13" xfId="8" applyNumberFormat="1" applyFont="1" applyFill="1" applyBorder="1" applyAlignment="1">
      <alignment horizontal="center"/>
    </xf>
    <xf numFmtId="42" fontId="4" fillId="0" borderId="14" xfId="0" applyNumberFormat="1" applyFont="1" applyBorder="1" applyAlignment="1">
      <alignment horizontal="center"/>
    </xf>
    <xf numFmtId="168" fontId="4" fillId="0" borderId="9" xfId="0" applyNumberFormat="1" applyFont="1" applyBorder="1" applyAlignment="1">
      <alignment horizontal="center"/>
    </xf>
    <xf numFmtId="42" fontId="4" fillId="0" borderId="9" xfId="0" applyNumberFormat="1" applyFont="1" applyBorder="1" applyAlignment="1">
      <alignment horizontal="center"/>
    </xf>
    <xf numFmtId="42" fontId="4" fillId="0" borderId="28" xfId="0" applyNumberFormat="1" applyFont="1" applyBorder="1" applyAlignment="1">
      <alignment horizontal="center"/>
    </xf>
    <xf numFmtId="42" fontId="4" fillId="0" borderId="0" xfId="8" applyNumberFormat="1" applyFont="1" applyFill="1" applyAlignment="1">
      <alignment horizontal="right"/>
    </xf>
    <xf numFmtId="42" fontId="4" fillId="0" borderId="0" xfId="8" applyNumberFormat="1" applyFont="1" applyFill="1" applyBorder="1" applyAlignment="1">
      <alignment horizontal="center"/>
    </xf>
    <xf numFmtId="14" fontId="0" fillId="0" borderId="0" xfId="48" applyNumberFormat="1" applyFont="1"/>
    <xf numFmtId="0" fontId="27" fillId="0" borderId="0" xfId="0" applyFont="1"/>
    <xf numFmtId="44" fontId="5" fillId="0" borderId="0" xfId="8" applyNumberFormat="1" applyFont="1" applyFill="1" applyBorder="1" applyAlignment="1">
      <alignment horizontal="center"/>
    </xf>
    <xf numFmtId="0" fontId="23" fillId="0" borderId="0" xfId="0" applyFont="1"/>
    <xf numFmtId="0" fontId="17" fillId="0" borderId="0" xfId="0" applyFont="1" applyAlignment="1">
      <alignment horizontal="left"/>
    </xf>
    <xf numFmtId="5" fontId="17" fillId="0" borderId="0" xfId="0" applyNumberFormat="1" applyFont="1" applyAlignment="1">
      <alignment horizontal="left"/>
    </xf>
    <xf numFmtId="164" fontId="17" fillId="0" borderId="0" xfId="0" applyNumberFormat="1" applyFont="1"/>
    <xf numFmtId="14" fontId="17" fillId="0" borderId="0" xfId="0" applyNumberFormat="1" applyFont="1"/>
    <xf numFmtId="14" fontId="17" fillId="0" borderId="0" xfId="0" applyNumberFormat="1" applyFont="1" applyAlignment="1">
      <alignment horizontal="right"/>
    </xf>
    <xf numFmtId="42" fontId="17" fillId="0" borderId="0" xfId="8" applyNumberFormat="1" applyFont="1" applyFill="1" applyAlignment="1">
      <alignment horizontal="right"/>
    </xf>
    <xf numFmtId="168" fontId="5" fillId="0" borderId="0" xfId="8" applyNumberFormat="1" applyFont="1" applyBorder="1" applyAlignment="1">
      <alignment horizontal="right"/>
    </xf>
    <xf numFmtId="42" fontId="4" fillId="0" borderId="0" xfId="8" applyNumberFormat="1" applyFont="1" applyAlignment="1">
      <alignment horizontal="right"/>
    </xf>
    <xf numFmtId="168" fontId="4" fillId="0" borderId="0" xfId="8" applyNumberFormat="1" applyFont="1" applyAlignment="1">
      <alignment horizontal="right"/>
    </xf>
    <xf numFmtId="164" fontId="4" fillId="0" borderId="0" xfId="23" applyNumberFormat="1" applyFont="1" applyFill="1" applyBorder="1" applyAlignment="1">
      <alignment horizontal="center"/>
    </xf>
    <xf numFmtId="9" fontId="4" fillId="0" borderId="0" xfId="48" applyFont="1" applyFill="1" applyBorder="1" applyAlignment="1">
      <alignment horizontal="center"/>
    </xf>
    <xf numFmtId="165" fontId="21" fillId="0" borderId="0" xfId="8" applyFont="1" applyAlignment="1">
      <alignment horizontal="center"/>
    </xf>
    <xf numFmtId="165" fontId="0" fillId="0" borderId="0" xfId="8" applyFont="1" applyAlignment="1">
      <alignment horizontal="right"/>
    </xf>
    <xf numFmtId="164" fontId="4" fillId="2" borderId="0" xfId="8" applyNumberFormat="1" applyFont="1" applyFill="1" applyBorder="1" applyAlignment="1">
      <alignment horizontal="right"/>
    </xf>
    <xf numFmtId="165" fontId="21" fillId="0" borderId="0" xfId="8" applyFont="1" applyFill="1" applyAlignment="1">
      <alignment horizontal="center"/>
    </xf>
    <xf numFmtId="14" fontId="4" fillId="3" borderId="0" xfId="0" applyNumberFormat="1" applyFont="1" applyFill="1" applyAlignment="1">
      <alignment horizontal="left"/>
    </xf>
    <xf numFmtId="0" fontId="4" fillId="0" borderId="11" xfId="0" applyFont="1" applyBorder="1" applyAlignment="1">
      <alignment horizontal="center"/>
    </xf>
    <xf numFmtId="5" fontId="4" fillId="0" borderId="11" xfId="0" applyNumberFormat="1" applyFont="1" applyBorder="1" applyAlignment="1">
      <alignment horizontal="center"/>
    </xf>
    <xf numFmtId="14" fontId="4" fillId="0" borderId="11" xfId="0" applyNumberFormat="1" applyFont="1" applyBorder="1" applyAlignment="1">
      <alignment horizontal="center"/>
    </xf>
    <xf numFmtId="42" fontId="21" fillId="0" borderId="0" xfId="8" applyNumberFormat="1" applyFont="1" applyFill="1" applyBorder="1" applyAlignment="1">
      <alignment horizontal="center"/>
    </xf>
    <xf numFmtId="166" fontId="5" fillId="0" borderId="0" xfId="8" applyNumberFormat="1" applyFont="1"/>
    <xf numFmtId="10" fontId="4" fillId="0" borderId="0" xfId="48" applyNumberFormat="1" applyFont="1" applyAlignment="1">
      <alignment horizontal="right"/>
    </xf>
    <xf numFmtId="164" fontId="4" fillId="0" borderId="11" xfId="0" applyNumberFormat="1" applyFont="1" applyBorder="1"/>
    <xf numFmtId="175" fontId="4" fillId="0" borderId="0" xfId="1" applyNumberFormat="1" applyFont="1" applyFill="1"/>
    <xf numFmtId="166" fontId="4" fillId="0" borderId="0" xfId="8" applyNumberFormat="1" applyFont="1" applyFill="1"/>
    <xf numFmtId="177" fontId="4" fillId="0" borderId="0" xfId="0" applyNumberFormat="1" applyFont="1"/>
    <xf numFmtId="4" fontId="0" fillId="0" borderId="0" xfId="0" applyNumberFormat="1"/>
    <xf numFmtId="0" fontId="4" fillId="0" borderId="11" xfId="0" applyFont="1" applyBorder="1" applyAlignment="1">
      <alignment horizontal="left"/>
    </xf>
    <xf numFmtId="42" fontId="4" fillId="0" borderId="11" xfId="0" applyNumberFormat="1" applyFont="1" applyBorder="1" applyAlignment="1">
      <alignment horizontal="center"/>
    </xf>
    <xf numFmtId="44" fontId="26" fillId="0" borderId="2" xfId="0" applyNumberFormat="1" applyFont="1" applyBorder="1" applyAlignment="1">
      <alignment horizontal="center"/>
    </xf>
    <xf numFmtId="0" fontId="28" fillId="0" borderId="0" xfId="0" applyFont="1"/>
    <xf numFmtId="164" fontId="4" fillId="0" borderId="0" xfId="1" applyNumberFormat="1" applyFont="1" applyFill="1" applyBorder="1" applyAlignment="1">
      <alignment horizontal="center"/>
    </xf>
    <xf numFmtId="8" fontId="4" fillId="0" borderId="0" xfId="8" applyNumberFormat="1" applyFont="1" applyFill="1" applyBorder="1" applyAlignment="1">
      <alignment horizontal="center"/>
    </xf>
    <xf numFmtId="166" fontId="0" fillId="0" borderId="0" xfId="8" applyNumberFormat="1" applyFont="1"/>
    <xf numFmtId="165" fontId="5" fillId="0" borderId="6" xfId="0" applyNumberFormat="1" applyFont="1" applyBorder="1" applyAlignment="1">
      <alignment horizontal="right"/>
    </xf>
    <xf numFmtId="44" fontId="5" fillId="0" borderId="19" xfId="0" applyNumberFormat="1" applyFont="1" applyBorder="1" applyAlignment="1">
      <alignment horizontal="right"/>
    </xf>
    <xf numFmtId="173" fontId="4" fillId="0" borderId="0" xfId="8" applyNumberFormat="1" applyFont="1"/>
    <xf numFmtId="173" fontId="4" fillId="0" borderId="0" xfId="0" applyNumberFormat="1" applyFont="1"/>
    <xf numFmtId="165" fontId="5" fillId="0" borderId="4" xfId="0" applyNumberFormat="1" applyFont="1" applyBorder="1" applyAlignment="1">
      <alignment horizontal="right"/>
    </xf>
    <xf numFmtId="0" fontId="4" fillId="0" borderId="0" xfId="0" applyFont="1" applyAlignment="1">
      <alignment horizontal="center" vertical="center"/>
    </xf>
    <xf numFmtId="42" fontId="4" fillId="0" borderId="0" xfId="19" applyNumberFormat="1" applyFont="1" applyBorder="1" applyAlignment="1">
      <alignment horizontal="right"/>
    </xf>
    <xf numFmtId="0" fontId="21" fillId="0" borderId="0" xfId="0" applyFont="1" applyAlignment="1">
      <alignment horizontal="center"/>
    </xf>
    <xf numFmtId="14" fontId="4" fillId="0" borderId="2" xfId="0" applyNumberFormat="1" applyFont="1" applyBorder="1" applyAlignment="1">
      <alignment horizontal="left"/>
    </xf>
    <xf numFmtId="5" fontId="21" fillId="0" borderId="0" xfId="0" applyNumberFormat="1" applyFont="1" applyAlignment="1">
      <alignment horizontal="center"/>
    </xf>
    <xf numFmtId="14" fontId="21" fillId="0" borderId="0" xfId="0" applyNumberFormat="1" applyFont="1" applyAlignment="1">
      <alignment horizontal="center"/>
    </xf>
    <xf numFmtId="14" fontId="21" fillId="0" borderId="0" xfId="0" applyNumberFormat="1" applyFont="1" applyAlignment="1">
      <alignment horizontal="left"/>
    </xf>
    <xf numFmtId="164" fontId="4" fillId="0" borderId="14" xfId="8" applyNumberFormat="1" applyFont="1" applyBorder="1" applyAlignment="1">
      <alignment horizontal="center"/>
    </xf>
    <xf numFmtId="164" fontId="1" fillId="0" borderId="0" xfId="0" applyNumberFormat="1" applyFont="1"/>
    <xf numFmtId="0" fontId="29" fillId="0" borderId="0" xfId="0" applyFont="1"/>
    <xf numFmtId="14" fontId="4" fillId="0" borderId="0" xfId="8" applyNumberFormat="1" applyFont="1" applyBorder="1" applyAlignment="1">
      <alignment horizontal="center"/>
    </xf>
    <xf numFmtId="14" fontId="22" fillId="0" borderId="0" xfId="0" applyNumberFormat="1" applyFont="1" applyAlignment="1">
      <alignment horizontal="center"/>
    </xf>
    <xf numFmtId="14" fontId="22" fillId="0" borderId="0" xfId="0" applyNumberFormat="1" applyFont="1" applyAlignment="1">
      <alignment horizontal="left"/>
    </xf>
    <xf numFmtId="181" fontId="0" fillId="0" borderId="0" xfId="0" applyNumberFormat="1" applyAlignment="1">
      <alignment horizontal="right"/>
    </xf>
    <xf numFmtId="14" fontId="5" fillId="3" borderId="0" xfId="0" applyNumberFormat="1" applyFont="1" applyFill="1" applyAlignment="1">
      <alignment horizontal="left"/>
    </xf>
    <xf numFmtId="164" fontId="21" fillId="0" borderId="0" xfId="0" applyNumberFormat="1" applyFont="1"/>
    <xf numFmtId="14" fontId="21" fillId="0" borderId="0" xfId="0" applyNumberFormat="1" applyFont="1" applyAlignment="1">
      <alignment horizontal="right"/>
    </xf>
    <xf numFmtId="181" fontId="0" fillId="0" borderId="0" xfId="0" applyNumberFormat="1"/>
    <xf numFmtId="164" fontId="4" fillId="0" borderId="11" xfId="1" applyNumberFormat="1" applyFont="1" applyBorder="1" applyAlignment="1">
      <alignment horizontal="left"/>
    </xf>
    <xf numFmtId="177" fontId="0" fillId="0" borderId="0" xfId="0" applyNumberFormat="1"/>
    <xf numFmtId="168" fontId="4" fillId="0" borderId="0" xfId="8" applyNumberFormat="1" applyFont="1" applyFill="1" applyAlignment="1">
      <alignment horizontal="center"/>
    </xf>
    <xf numFmtId="8" fontId="0" fillId="0" borderId="0" xfId="0" applyNumberFormat="1" applyAlignment="1">
      <alignment horizontal="right"/>
    </xf>
    <xf numFmtId="6" fontId="0" fillId="0" borderId="0" xfId="0" applyNumberFormat="1" applyAlignment="1">
      <alignment horizontal="right"/>
    </xf>
    <xf numFmtId="0" fontId="17" fillId="0" borderId="0" xfId="0" applyFont="1" applyAlignment="1">
      <alignment horizontal="center"/>
    </xf>
    <xf numFmtId="5" fontId="17" fillId="0" borderId="0" xfId="0" applyNumberFormat="1" applyFont="1" applyAlignment="1">
      <alignment horizontal="center"/>
    </xf>
    <xf numFmtId="164" fontId="17" fillId="0" borderId="0" xfId="23" applyNumberFormat="1" applyFont="1" applyFill="1" applyBorder="1" applyAlignment="1">
      <alignment horizontal="center"/>
    </xf>
    <xf numFmtId="42" fontId="17" fillId="0" borderId="0" xfId="8" applyNumberFormat="1" applyFont="1" applyFill="1" applyBorder="1" applyAlignment="1">
      <alignment horizontal="center"/>
    </xf>
    <xf numFmtId="14" fontId="17" fillId="0" borderId="0" xfId="8" applyNumberFormat="1" applyFont="1" applyFill="1" applyBorder="1" applyAlignment="1">
      <alignment horizontal="center"/>
    </xf>
    <xf numFmtId="14" fontId="17" fillId="0" borderId="0" xfId="0" applyNumberFormat="1" applyFont="1" applyAlignment="1">
      <alignment horizontal="center"/>
    </xf>
    <xf numFmtId="164" fontId="17" fillId="0" borderId="0" xfId="8" applyNumberFormat="1" applyFont="1" applyFill="1" applyBorder="1" applyAlignment="1">
      <alignment horizontal="center"/>
    </xf>
    <xf numFmtId="44" fontId="0" fillId="0" borderId="0" xfId="0" applyNumberFormat="1" applyAlignment="1">
      <alignment horizontal="right"/>
    </xf>
    <xf numFmtId="0" fontId="5" fillId="3" borderId="0" xfId="0" applyFont="1" applyFill="1" applyAlignment="1">
      <alignment horizontal="left"/>
    </xf>
    <xf numFmtId="42" fontId="17" fillId="0" borderId="0" xfId="0" applyNumberFormat="1" applyFont="1" applyAlignment="1">
      <alignment horizontal="center"/>
    </xf>
    <xf numFmtId="0" fontId="4" fillId="4" borderId="0" xfId="0" applyFont="1" applyFill="1" applyAlignment="1">
      <alignment horizontal="center"/>
    </xf>
    <xf numFmtId="5" fontId="4" fillId="4" borderId="0" xfId="0" applyNumberFormat="1" applyFont="1" applyFill="1" applyAlignment="1">
      <alignment horizontal="center"/>
    </xf>
    <xf numFmtId="164" fontId="4" fillId="4" borderId="0" xfId="8" applyNumberFormat="1" applyFont="1" applyFill="1" applyBorder="1" applyAlignment="1">
      <alignment horizontal="center"/>
    </xf>
    <xf numFmtId="14" fontId="4" fillId="4" borderId="0" xfId="0" applyNumberFormat="1" applyFont="1" applyFill="1" applyAlignment="1">
      <alignment horizontal="center"/>
    </xf>
    <xf numFmtId="44" fontId="4" fillId="4" borderId="0" xfId="8" applyNumberFormat="1" applyFont="1" applyFill="1" applyBorder="1" applyAlignment="1">
      <alignment horizontal="center"/>
    </xf>
    <xf numFmtId="166" fontId="4" fillId="4" borderId="0" xfId="8" applyNumberFormat="1" applyFont="1" applyFill="1" applyBorder="1" applyAlignment="1">
      <alignment horizontal="center"/>
    </xf>
    <xf numFmtId="42" fontId="4" fillId="4" borderId="0" xfId="8" applyNumberFormat="1" applyFont="1" applyFill="1" applyBorder="1" applyAlignment="1">
      <alignment horizontal="center"/>
    </xf>
    <xf numFmtId="14" fontId="4" fillId="4" borderId="0" xfId="0" applyNumberFormat="1" applyFont="1" applyFill="1" applyAlignment="1">
      <alignment horizontal="left"/>
    </xf>
    <xf numFmtId="164" fontId="4" fillId="4" borderId="2" xfId="8" applyNumberFormat="1" applyFont="1" applyFill="1" applyBorder="1" applyAlignment="1">
      <alignment horizontal="center"/>
    </xf>
    <xf numFmtId="14" fontId="4" fillId="4" borderId="2" xfId="0" applyNumberFormat="1" applyFont="1" applyFill="1" applyBorder="1" applyAlignment="1">
      <alignment horizontal="left"/>
    </xf>
    <xf numFmtId="0" fontId="4" fillId="4" borderId="0" xfId="0" applyFont="1" applyFill="1" applyAlignment="1">
      <alignment horizontal="left"/>
    </xf>
    <xf numFmtId="0" fontId="21" fillId="4" borderId="0" xfId="0" applyFont="1" applyFill="1" applyAlignment="1">
      <alignment horizontal="center"/>
    </xf>
    <xf numFmtId="42" fontId="4" fillId="0" borderId="11" xfId="8" applyNumberFormat="1" applyFont="1" applyFill="1" applyBorder="1" applyAlignment="1">
      <alignment horizontal="center"/>
    </xf>
    <xf numFmtId="14" fontId="4" fillId="3" borderId="11" xfId="0" applyNumberFormat="1" applyFont="1" applyFill="1" applyBorder="1" applyAlignment="1">
      <alignment horizontal="left"/>
    </xf>
    <xf numFmtId="0" fontId="21" fillId="0" borderId="11" xfId="0" applyFont="1" applyBorder="1" applyAlignment="1">
      <alignment horizontal="center"/>
    </xf>
    <xf numFmtId="168" fontId="4" fillId="0" borderId="0" xfId="8" applyNumberFormat="1" applyFont="1" applyFill="1" applyBorder="1" applyAlignment="1">
      <alignment horizontal="center"/>
    </xf>
    <xf numFmtId="0" fontId="16" fillId="0" borderId="1" xfId="0" applyFont="1" applyBorder="1" applyAlignment="1">
      <alignment horizontal="center"/>
    </xf>
    <xf numFmtId="0" fontId="0" fillId="0" borderId="0" xfId="0" applyAlignment="1">
      <alignment horizontal="center"/>
    </xf>
    <xf numFmtId="0" fontId="5" fillId="0" borderId="16" xfId="0" applyFont="1" applyBorder="1" applyAlignment="1">
      <alignment horizontal="center"/>
    </xf>
    <xf numFmtId="0" fontId="5" fillId="0" borderId="16" xfId="0" applyFont="1" applyBorder="1" applyAlignment="1">
      <alignment horizontal="center" vertical="center"/>
    </xf>
    <xf numFmtId="44" fontId="4" fillId="0" borderId="0" xfId="23" applyFont="1" applyFill="1" applyBorder="1" applyAlignment="1">
      <alignment horizontal="center"/>
    </xf>
    <xf numFmtId="164" fontId="4" fillId="0" borderId="11" xfId="0" applyNumberFormat="1" applyFont="1" applyBorder="1" applyAlignment="1">
      <alignment horizontal="center"/>
    </xf>
    <xf numFmtId="14" fontId="4" fillId="0" borderId="2" xfId="8" applyNumberFormat="1" applyFont="1" applyBorder="1" applyAlignment="1">
      <alignment horizontal="center"/>
    </xf>
    <xf numFmtId="44" fontId="21" fillId="0" borderId="0" xfId="8" applyNumberFormat="1" applyFont="1" applyFill="1" applyBorder="1" applyAlignment="1">
      <alignment horizontal="center"/>
    </xf>
    <xf numFmtId="42" fontId="4" fillId="0" borderId="11" xfId="8" applyNumberFormat="1" applyFont="1" applyBorder="1" applyAlignment="1">
      <alignment horizontal="center"/>
    </xf>
    <xf numFmtId="166" fontId="4" fillId="0" borderId="0" xfId="8" applyNumberFormat="1" applyFont="1" applyBorder="1" applyAlignment="1">
      <alignment horizontal="left"/>
    </xf>
    <xf numFmtId="168" fontId="4" fillId="0" borderId="11" xfId="0" applyNumberFormat="1" applyFont="1" applyBorder="1" applyAlignment="1">
      <alignment horizontal="center"/>
    </xf>
    <xf numFmtId="14" fontId="4" fillId="3" borderId="16" xfId="0" applyNumberFormat="1" applyFont="1" applyFill="1" applyBorder="1" applyAlignment="1">
      <alignment horizontal="left"/>
    </xf>
    <xf numFmtId="164" fontId="4" fillId="0" borderId="0" xfId="8" applyNumberFormat="1" applyFont="1" applyFill="1" applyBorder="1" applyAlignment="1">
      <alignment horizontal="right"/>
    </xf>
    <xf numFmtId="6" fontId="4" fillId="0" borderId="0" xfId="48" applyNumberFormat="1" applyFont="1"/>
    <xf numFmtId="0" fontId="4" fillId="3" borderId="11" xfId="0" applyFont="1" applyFill="1" applyBorder="1" applyAlignment="1">
      <alignment horizontal="left"/>
    </xf>
    <xf numFmtId="4" fontId="30" fillId="0" borderId="0" xfId="0" applyNumberFormat="1" applyFont="1"/>
    <xf numFmtId="44" fontId="4" fillId="0" borderId="11" xfId="23" applyFont="1" applyFill="1" applyBorder="1" applyAlignment="1">
      <alignment horizontal="center"/>
    </xf>
    <xf numFmtId="43" fontId="4" fillId="0" borderId="0" xfId="1" applyFont="1" applyBorder="1"/>
    <xf numFmtId="44" fontId="21" fillId="0" borderId="0" xfId="0" applyNumberFormat="1" applyFont="1" applyAlignment="1">
      <alignment horizontal="center"/>
    </xf>
    <xf numFmtId="164" fontId="5" fillId="0" borderId="0" xfId="23" applyNumberFormat="1" applyFont="1" applyFill="1" applyBorder="1" applyAlignment="1">
      <alignment horizontal="center"/>
    </xf>
    <xf numFmtId="9" fontId="5" fillId="0" borderId="0" xfId="48" applyFont="1" applyFill="1" applyBorder="1" applyAlignment="1">
      <alignment horizontal="center"/>
    </xf>
    <xf numFmtId="0" fontId="4" fillId="5" borderId="0" xfId="0" applyFont="1" applyFill="1" applyAlignment="1">
      <alignment horizontal="center"/>
    </xf>
    <xf numFmtId="5" fontId="4" fillId="5" borderId="0" xfId="0" applyNumberFormat="1" applyFont="1" applyFill="1" applyAlignment="1">
      <alignment horizontal="center"/>
    </xf>
    <xf numFmtId="164" fontId="4" fillId="5" borderId="0" xfId="8" applyNumberFormat="1" applyFont="1" applyFill="1" applyBorder="1" applyAlignment="1">
      <alignment horizontal="center"/>
    </xf>
    <xf numFmtId="14" fontId="4" fillId="5" borderId="0" xfId="0" applyNumberFormat="1" applyFont="1" applyFill="1" applyAlignment="1">
      <alignment horizontal="center"/>
    </xf>
    <xf numFmtId="14" fontId="4" fillId="5" borderId="0" xfId="0" applyNumberFormat="1" applyFont="1" applyFill="1" applyAlignment="1">
      <alignment horizontal="left"/>
    </xf>
    <xf numFmtId="164" fontId="4" fillId="5" borderId="0" xfId="23" applyNumberFormat="1" applyFont="1" applyFill="1" applyBorder="1" applyAlignment="1">
      <alignment horizontal="center"/>
    </xf>
    <xf numFmtId="9" fontId="4" fillId="5" borderId="0" xfId="48" applyFont="1" applyFill="1" applyBorder="1" applyAlignment="1">
      <alignment horizontal="center"/>
    </xf>
    <xf numFmtId="0" fontId="21" fillId="5" borderId="0" xfId="0" applyFont="1" applyFill="1" applyAlignment="1">
      <alignment horizontal="center"/>
    </xf>
    <xf numFmtId="0" fontId="11" fillId="5" borderId="0" xfId="0" applyFont="1" applyFill="1" applyAlignment="1">
      <alignment horizontal="center"/>
    </xf>
    <xf numFmtId="5" fontId="4" fillId="5" borderId="0" xfId="0" applyNumberFormat="1" applyFont="1" applyFill="1" applyAlignment="1">
      <alignment horizontal="left"/>
    </xf>
    <xf numFmtId="14" fontId="5" fillId="0" borderId="0" xfId="8" applyNumberFormat="1" applyFont="1" applyFill="1" applyBorder="1" applyAlignment="1">
      <alignment horizontal="center"/>
    </xf>
    <xf numFmtId="166" fontId="21" fillId="0" borderId="0" xfId="8" applyNumberFormat="1" applyFont="1"/>
    <xf numFmtId="0" fontId="4" fillId="3" borderId="0" xfId="0" applyFont="1" applyFill="1" applyAlignment="1">
      <alignment horizontal="left"/>
    </xf>
    <xf numFmtId="0" fontId="4" fillId="0" borderId="0" xfId="8" applyNumberFormat="1" applyFont="1" applyAlignment="1">
      <alignment horizontal="center"/>
    </xf>
    <xf numFmtId="165" fontId="5" fillId="0" borderId="0" xfId="8" applyFont="1" applyAlignment="1">
      <alignment horizontal="center"/>
    </xf>
    <xf numFmtId="165" fontId="4" fillId="0" borderId="0" xfId="8" applyFont="1" applyFill="1"/>
    <xf numFmtId="8" fontId="0" fillId="0" borderId="0" xfId="1" applyNumberFormat="1" applyFont="1" applyFill="1"/>
    <xf numFmtId="165" fontId="4" fillId="0" borderId="0" xfId="0" applyNumberFormat="1" applyFont="1" applyAlignment="1">
      <alignment horizontal="left"/>
    </xf>
    <xf numFmtId="0" fontId="31" fillId="0" borderId="0" xfId="0" applyFont="1" applyAlignment="1">
      <alignment horizontal="center"/>
    </xf>
    <xf numFmtId="5" fontId="31" fillId="0" borderId="0" xfId="0" applyNumberFormat="1" applyFont="1" applyAlignment="1">
      <alignment horizontal="center"/>
    </xf>
    <xf numFmtId="42" fontId="31" fillId="0" borderId="0" xfId="8" applyNumberFormat="1" applyFont="1" applyFill="1" applyBorder="1" applyAlignment="1">
      <alignment horizontal="center"/>
    </xf>
    <xf numFmtId="164" fontId="31" fillId="0" borderId="0" xfId="8" applyNumberFormat="1" applyFont="1" applyFill="1" applyBorder="1" applyAlignment="1">
      <alignment horizontal="center"/>
    </xf>
    <xf numFmtId="42" fontId="31" fillId="0" borderId="0" xfId="0" applyNumberFormat="1" applyFont="1" applyAlignment="1">
      <alignment horizontal="center"/>
    </xf>
    <xf numFmtId="14" fontId="31" fillId="0" borderId="0" xfId="8" applyNumberFormat="1" applyFont="1" applyFill="1" applyBorder="1" applyAlignment="1">
      <alignment horizontal="center"/>
    </xf>
    <xf numFmtId="14" fontId="31" fillId="0" borderId="0" xfId="0" applyNumberFormat="1" applyFont="1" applyAlignment="1">
      <alignment horizontal="center"/>
    </xf>
    <xf numFmtId="181" fontId="4" fillId="0" borderId="0" xfId="0" applyNumberFormat="1" applyFont="1"/>
    <xf numFmtId="44" fontId="21" fillId="0" borderId="0" xfId="8" applyNumberFormat="1" applyFont="1" applyBorder="1" applyAlignment="1">
      <alignment horizontal="center"/>
    </xf>
    <xf numFmtId="44" fontId="21" fillId="0" borderId="0" xfId="0" applyNumberFormat="1" applyFont="1"/>
    <xf numFmtId="44" fontId="4" fillId="0" borderId="0" xfId="1" applyNumberFormat="1" applyFont="1" applyFill="1" applyBorder="1" applyAlignment="1">
      <alignment horizontal="center"/>
    </xf>
    <xf numFmtId="164" fontId="5" fillId="0" borderId="9" xfId="8" applyNumberFormat="1" applyFont="1" applyBorder="1" applyAlignment="1">
      <alignment horizontal="center"/>
    </xf>
    <xf numFmtId="42" fontId="4" fillId="0" borderId="0" xfId="48" applyNumberFormat="1" applyFont="1" applyFill="1" applyBorder="1" applyAlignment="1">
      <alignment horizontal="center"/>
    </xf>
    <xf numFmtId="0" fontId="32" fillId="0" borderId="0" xfId="0" applyFont="1" applyAlignment="1">
      <alignment horizontal="center"/>
    </xf>
    <xf numFmtId="5" fontId="32" fillId="0" borderId="0" xfId="0" applyNumberFormat="1" applyFont="1" applyAlignment="1">
      <alignment horizontal="center"/>
    </xf>
    <xf numFmtId="5" fontId="32" fillId="0" borderId="0" xfId="0" applyNumberFormat="1" applyFont="1" applyAlignment="1">
      <alignment horizontal="left"/>
    </xf>
    <xf numFmtId="42" fontId="32" fillId="0" borderId="0" xfId="8" applyNumberFormat="1" applyFont="1" applyFill="1" applyBorder="1" applyAlignment="1">
      <alignment horizontal="center"/>
    </xf>
    <xf numFmtId="164" fontId="32" fillId="0" borderId="0" xfId="8" applyNumberFormat="1" applyFont="1" applyFill="1" applyBorder="1" applyAlignment="1">
      <alignment horizontal="center"/>
    </xf>
    <xf numFmtId="42" fontId="32" fillId="0" borderId="0" xfId="0" applyNumberFormat="1" applyFont="1" applyAlignment="1">
      <alignment horizontal="center"/>
    </xf>
    <xf numFmtId="14" fontId="32" fillId="0" borderId="0" xfId="8" applyNumberFormat="1" applyFont="1" applyFill="1" applyBorder="1" applyAlignment="1">
      <alignment horizontal="center"/>
    </xf>
    <xf numFmtId="14" fontId="32" fillId="0" borderId="0" xfId="0" applyNumberFormat="1" applyFont="1" applyAlignment="1">
      <alignment horizontal="center"/>
    </xf>
    <xf numFmtId="168" fontId="32" fillId="0" borderId="0" xfId="8" applyNumberFormat="1" applyFont="1" applyFill="1" applyBorder="1" applyAlignment="1">
      <alignment horizontal="center"/>
    </xf>
    <xf numFmtId="44" fontId="32" fillId="0" borderId="0" xfId="8" applyNumberFormat="1" applyFont="1" applyFill="1" applyBorder="1" applyAlignment="1">
      <alignment horizontal="center"/>
    </xf>
    <xf numFmtId="44" fontId="4" fillId="0" borderId="11" xfId="1" applyNumberFormat="1" applyFont="1" applyFill="1" applyBorder="1" applyAlignment="1">
      <alignment horizontal="center"/>
    </xf>
    <xf numFmtId="168" fontId="32" fillId="0" borderId="0" xfId="0" applyNumberFormat="1" applyFont="1" applyAlignment="1">
      <alignment horizontal="center"/>
    </xf>
    <xf numFmtId="3" fontId="0" fillId="0" borderId="0" xfId="0" applyNumberFormat="1"/>
    <xf numFmtId="164" fontId="4" fillId="0" borderId="11" xfId="23" applyNumberFormat="1" applyFont="1" applyFill="1" applyBorder="1" applyAlignment="1">
      <alignment horizontal="center"/>
    </xf>
    <xf numFmtId="9" fontId="4" fillId="0" borderId="11" xfId="48" applyFont="1" applyFill="1" applyBorder="1" applyAlignment="1">
      <alignment horizontal="center"/>
    </xf>
    <xf numFmtId="0" fontId="11" fillId="0" borderId="11" xfId="0" applyFont="1" applyBorder="1" applyAlignment="1">
      <alignment horizontal="center"/>
    </xf>
    <xf numFmtId="0" fontId="32" fillId="0" borderId="11" xfId="0" applyFont="1" applyBorder="1" applyAlignment="1">
      <alignment horizontal="center"/>
    </xf>
    <xf numFmtId="5" fontId="32" fillId="0" borderId="11" xfId="0" applyNumberFormat="1" applyFont="1" applyBorder="1" applyAlignment="1">
      <alignment horizontal="center"/>
    </xf>
    <xf numFmtId="168" fontId="32" fillId="0" borderId="11" xfId="8" applyNumberFormat="1" applyFont="1" applyFill="1" applyBorder="1" applyAlignment="1">
      <alignment horizontal="center"/>
    </xf>
    <xf numFmtId="164" fontId="32" fillId="0" borderId="11" xfId="8" applyNumberFormat="1" applyFont="1" applyFill="1" applyBorder="1" applyAlignment="1">
      <alignment horizontal="center"/>
    </xf>
    <xf numFmtId="168" fontId="32" fillId="0" borderId="11" xfId="0" applyNumberFormat="1" applyFont="1" applyBorder="1" applyAlignment="1">
      <alignment horizontal="center"/>
    </xf>
    <xf numFmtId="14" fontId="32" fillId="0" borderId="11" xfId="8" applyNumberFormat="1" applyFont="1" applyFill="1" applyBorder="1" applyAlignment="1">
      <alignment horizontal="center"/>
    </xf>
    <xf numFmtId="44" fontId="32" fillId="0" borderId="11" xfId="8" applyNumberFormat="1" applyFont="1" applyFill="1" applyBorder="1" applyAlignment="1">
      <alignment horizontal="center"/>
    </xf>
    <xf numFmtId="42" fontId="32" fillId="0" borderId="11" xfId="0" applyNumberFormat="1" applyFont="1" applyBorder="1" applyAlignment="1">
      <alignment horizontal="center"/>
    </xf>
    <xf numFmtId="14" fontId="32" fillId="0" borderId="11" xfId="0" applyNumberFormat="1" applyFont="1" applyBorder="1" applyAlignment="1">
      <alignment horizontal="center"/>
    </xf>
    <xf numFmtId="164" fontId="4" fillId="0" borderId="11" xfId="8" applyNumberFormat="1" applyFont="1" applyFill="1" applyBorder="1" applyAlignment="1">
      <alignment horizontal="right"/>
    </xf>
    <xf numFmtId="44" fontId="21" fillId="0" borderId="11" xfId="0" applyNumberFormat="1" applyFont="1" applyBorder="1" applyAlignment="1">
      <alignment horizontal="center"/>
    </xf>
    <xf numFmtId="14" fontId="4" fillId="0" borderId="11" xfId="0" applyNumberFormat="1" applyFont="1" applyBorder="1" applyAlignment="1">
      <alignment horizontal="left"/>
    </xf>
  </cellXfs>
  <cellStyles count="59">
    <cellStyle name="Comma" xfId="1" builtinId="3"/>
    <cellStyle name="Comma 2" xfId="2" xr:uid="{00000000-0005-0000-0000-000001000000}"/>
    <cellStyle name="Comma 2 2" xfId="3" xr:uid="{00000000-0005-0000-0000-000002000000}"/>
    <cellStyle name="Comma 2 3" xfId="4" xr:uid="{00000000-0005-0000-0000-000003000000}"/>
    <cellStyle name="Comma 2 4" xfId="5" xr:uid="{00000000-0005-0000-0000-000004000000}"/>
    <cellStyle name="Comma 3" xfId="6" xr:uid="{00000000-0005-0000-0000-000005000000}"/>
    <cellStyle name="Comma 4" xfId="7" xr:uid="{00000000-0005-0000-0000-000006000000}"/>
    <cellStyle name="Currency" xfId="8" builtinId="4"/>
    <cellStyle name="Currency 2 2" xfId="9" xr:uid="{00000000-0005-0000-0000-000008000000}"/>
    <cellStyle name="Currency 2 2 2" xfId="10" xr:uid="{00000000-0005-0000-0000-000009000000}"/>
    <cellStyle name="Currency 2 3" xfId="11" xr:uid="{00000000-0005-0000-0000-00000A000000}"/>
    <cellStyle name="Currency 2 4" xfId="12" xr:uid="{00000000-0005-0000-0000-00000B000000}"/>
    <cellStyle name="Currency 3" xfId="13" xr:uid="{00000000-0005-0000-0000-00000C000000}"/>
    <cellStyle name="Currency 4" xfId="14" xr:uid="{00000000-0005-0000-0000-00000D000000}"/>
    <cellStyle name="Currency 4 2" xfId="15" xr:uid="{00000000-0005-0000-0000-00000E000000}"/>
    <cellStyle name="Currency 5" xfId="16" xr:uid="{00000000-0005-0000-0000-00000F000000}"/>
    <cellStyle name="Currency 5 2" xfId="17" xr:uid="{00000000-0005-0000-0000-000010000000}"/>
    <cellStyle name="Currency 6 2" xfId="18" xr:uid="{00000000-0005-0000-0000-000011000000}"/>
    <cellStyle name="Currency 7" xfId="19" xr:uid="{00000000-0005-0000-0000-000012000000}"/>
    <cellStyle name="Currency 7 2" xfId="20" xr:uid="{00000000-0005-0000-0000-000013000000}"/>
    <cellStyle name="Currency 8 2" xfId="21" xr:uid="{00000000-0005-0000-0000-000014000000}"/>
    <cellStyle name="Currency 9" xfId="22" xr:uid="{00000000-0005-0000-0000-000015000000}"/>
    <cellStyle name="Currency_SF" xfId="23" xr:uid="{00000000-0005-0000-0000-000016000000}"/>
    <cellStyle name="Normal" xfId="0" builtinId="0"/>
    <cellStyle name="Normal 10" xfId="24" xr:uid="{00000000-0005-0000-0000-000018000000}"/>
    <cellStyle name="Normal 2" xfId="25" xr:uid="{00000000-0005-0000-0000-000019000000}"/>
    <cellStyle name="Normal 2 2" xfId="26" xr:uid="{00000000-0005-0000-0000-00001A000000}"/>
    <cellStyle name="Normal 2 2 2" xfId="27" xr:uid="{00000000-0005-0000-0000-00001B000000}"/>
    <cellStyle name="Normal 2 3" xfId="28" xr:uid="{00000000-0005-0000-0000-00001C000000}"/>
    <cellStyle name="Normal 2 4" xfId="29" xr:uid="{00000000-0005-0000-0000-00001D000000}"/>
    <cellStyle name="Normal 2 5" xfId="30" xr:uid="{00000000-0005-0000-0000-00001E000000}"/>
    <cellStyle name="Normal 2 6" xfId="31" xr:uid="{00000000-0005-0000-0000-00001F000000}"/>
    <cellStyle name="Normal 2 7" xfId="32" xr:uid="{00000000-0005-0000-0000-000020000000}"/>
    <cellStyle name="Normal 3 2" xfId="33" xr:uid="{00000000-0005-0000-0000-000021000000}"/>
    <cellStyle name="Normal 3 3" xfId="34" xr:uid="{00000000-0005-0000-0000-000022000000}"/>
    <cellStyle name="Normal 4" xfId="35" xr:uid="{00000000-0005-0000-0000-000023000000}"/>
    <cellStyle name="Normal 4 2" xfId="36" xr:uid="{00000000-0005-0000-0000-000024000000}"/>
    <cellStyle name="Normal 5" xfId="37" xr:uid="{00000000-0005-0000-0000-000025000000}"/>
    <cellStyle name="Normal 5 2" xfId="38" xr:uid="{00000000-0005-0000-0000-000026000000}"/>
    <cellStyle name="Normal 6 2" xfId="39" xr:uid="{00000000-0005-0000-0000-000027000000}"/>
    <cellStyle name="Normal 6 3" xfId="40" xr:uid="{00000000-0005-0000-0000-000028000000}"/>
    <cellStyle name="Normal 6 4" xfId="41" xr:uid="{00000000-0005-0000-0000-000029000000}"/>
    <cellStyle name="Normal 6 5" xfId="42" xr:uid="{00000000-0005-0000-0000-00002A000000}"/>
    <cellStyle name="Normal 7 2" xfId="43" xr:uid="{00000000-0005-0000-0000-00002B000000}"/>
    <cellStyle name="Normal 8" xfId="44" xr:uid="{00000000-0005-0000-0000-00002C000000}"/>
    <cellStyle name="Normal 8 2" xfId="45" xr:uid="{00000000-0005-0000-0000-00002D000000}"/>
    <cellStyle name="Normal 8 3" xfId="46" xr:uid="{00000000-0005-0000-0000-00002E000000}"/>
    <cellStyle name="Normal 9" xfId="47" xr:uid="{00000000-0005-0000-0000-00002F000000}"/>
    <cellStyle name="Percent" xfId="48" builtinId="5"/>
    <cellStyle name="Percent 2 2" xfId="49" xr:uid="{00000000-0005-0000-0000-000031000000}"/>
    <cellStyle name="Percent 2 2 2" xfId="50" xr:uid="{00000000-0005-0000-0000-000032000000}"/>
    <cellStyle name="Percent 2 3" xfId="51" xr:uid="{00000000-0005-0000-0000-000033000000}"/>
    <cellStyle name="Percent 2 4" xfId="52" xr:uid="{00000000-0005-0000-0000-000034000000}"/>
    <cellStyle name="Percent 3" xfId="53" xr:uid="{00000000-0005-0000-0000-000035000000}"/>
    <cellStyle name="Percent 4" xfId="54" xr:uid="{00000000-0005-0000-0000-000036000000}"/>
    <cellStyle name="Percent 5" xfId="55" xr:uid="{00000000-0005-0000-0000-000037000000}"/>
    <cellStyle name="Percent 7" xfId="56" xr:uid="{00000000-0005-0000-0000-000038000000}"/>
    <cellStyle name="Percent 8 2" xfId="57" xr:uid="{00000000-0005-0000-0000-000039000000}"/>
    <cellStyle name="Percent 9" xfId="58" xr:uid="{00000000-0005-0000-0000-00003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1"/>
  <sheetViews>
    <sheetView tabSelected="1" zoomScale="110" zoomScaleNormal="110" workbookViewId="0">
      <selection activeCell="C3" sqref="C3"/>
    </sheetView>
  </sheetViews>
  <sheetFormatPr defaultColWidth="9.125" defaultRowHeight="12"/>
  <cols>
    <col min="1" max="1" width="38.625" style="13" customWidth="1"/>
    <col min="2" max="2" width="20" style="34" bestFit="1" customWidth="1"/>
    <col min="3" max="3" width="17.75" style="13" bestFit="1" customWidth="1"/>
    <col min="4" max="4" width="16.125" style="34" bestFit="1" customWidth="1"/>
    <col min="5" max="5" width="15.125" style="34" bestFit="1" customWidth="1"/>
    <col min="6" max="6" width="17.375" style="13" customWidth="1"/>
    <col min="7" max="7" width="16.125" style="13" bestFit="1" customWidth="1"/>
    <col min="8" max="8" width="16.375" style="13" bestFit="1" customWidth="1"/>
    <col min="9" max="9" width="17.75" style="13" bestFit="1" customWidth="1"/>
    <col min="10" max="10" width="16.25" style="13" customWidth="1"/>
    <col min="11" max="11" width="15.125" style="13" bestFit="1" customWidth="1"/>
    <col min="12" max="15" width="9.125" style="13"/>
    <col min="16" max="16" width="16.125" style="13" customWidth="1"/>
    <col min="17" max="17" width="16.125" style="13" bestFit="1" customWidth="1"/>
    <col min="18" max="18" width="12.875" style="13" bestFit="1" customWidth="1"/>
    <col min="19" max="19" width="13.875" style="13" bestFit="1" customWidth="1"/>
    <col min="20" max="16384" width="9.125" style="13"/>
  </cols>
  <sheetData>
    <row r="1" spans="1:18">
      <c r="A1" s="209"/>
      <c r="B1" s="151"/>
      <c r="C1" s="49"/>
      <c r="F1" s="49"/>
      <c r="H1" s="101"/>
    </row>
    <row r="2" spans="1:18">
      <c r="G2" s="145"/>
      <c r="H2" s="10"/>
    </row>
    <row r="3" spans="1:18" s="1" customFormat="1">
      <c r="A3" s="43" t="s">
        <v>443</v>
      </c>
      <c r="B3" s="13"/>
      <c r="C3" s="7">
        <v>44544</v>
      </c>
      <c r="D3" s="142"/>
      <c r="E3" s="387"/>
      <c r="F3" s="14"/>
      <c r="G3" s="206"/>
      <c r="H3" s="205"/>
      <c r="I3" s="83"/>
    </row>
    <row r="4" spans="1:18" s="1" customFormat="1">
      <c r="A4" s="209"/>
      <c r="B4" s="13"/>
      <c r="C4" s="167"/>
      <c r="D4" s="167"/>
      <c r="E4" s="167"/>
      <c r="F4" s="167"/>
      <c r="G4" s="167"/>
      <c r="H4" s="167"/>
      <c r="I4" s="167"/>
    </row>
    <row r="5" spans="1:18" s="1" customFormat="1">
      <c r="A5" s="209"/>
      <c r="B5" s="101">
        <f>SUM(C5:I5)</f>
        <v>1</v>
      </c>
      <c r="C5" s="15">
        <v>0.32250000000000001</v>
      </c>
      <c r="D5" s="15">
        <v>0.1</v>
      </c>
      <c r="E5" s="15">
        <v>0.02</v>
      </c>
      <c r="F5" s="208">
        <v>2.6249999999999999E-2</v>
      </c>
      <c r="G5" s="207">
        <v>5.2499999999999998E-2</v>
      </c>
      <c r="H5" s="207">
        <v>0.18375</v>
      </c>
      <c r="I5" s="125">
        <v>0.29499999999999998</v>
      </c>
    </row>
    <row r="6" spans="1:18" s="1" customFormat="1">
      <c r="A6" s="209"/>
      <c r="B6" s="49"/>
      <c r="C6" s="79" t="s">
        <v>56</v>
      </c>
      <c r="D6" s="79" t="s">
        <v>57</v>
      </c>
      <c r="E6" s="79" t="s">
        <v>58</v>
      </c>
      <c r="F6" s="79" t="s">
        <v>59</v>
      </c>
      <c r="G6" s="79" t="s">
        <v>59</v>
      </c>
      <c r="H6" s="79" t="s">
        <v>59</v>
      </c>
      <c r="I6" s="79" t="s">
        <v>60</v>
      </c>
      <c r="J6" s="320" t="s">
        <v>187</v>
      </c>
      <c r="O6" s="332" t="s">
        <v>202</v>
      </c>
      <c r="P6" s="333" t="s">
        <v>204</v>
      </c>
    </row>
    <row r="7" spans="1:18" s="1" customFormat="1">
      <c r="A7" s="43"/>
      <c r="B7" s="90" t="s">
        <v>15</v>
      </c>
      <c r="C7" s="91" t="s">
        <v>33</v>
      </c>
      <c r="D7" s="89" t="s">
        <v>25</v>
      </c>
      <c r="E7" s="89" t="s">
        <v>3</v>
      </c>
      <c r="F7" s="92" t="s">
        <v>52</v>
      </c>
      <c r="G7" s="92" t="s">
        <v>13</v>
      </c>
      <c r="H7" s="92" t="s">
        <v>20</v>
      </c>
      <c r="I7" s="90" t="s">
        <v>16</v>
      </c>
      <c r="J7" s="321" t="s">
        <v>184</v>
      </c>
      <c r="O7" s="334" t="s">
        <v>203</v>
      </c>
      <c r="P7" s="335" t="s">
        <v>205</v>
      </c>
    </row>
    <row r="8" spans="1:18" s="1" customFormat="1">
      <c r="A8" s="150" t="s">
        <v>448</v>
      </c>
      <c r="B8" s="306">
        <f>31290831*130</f>
        <v>4067808030</v>
      </c>
      <c r="C8" s="307">
        <f>ROUND(C5*$B$8,0)</f>
        <v>1311868090</v>
      </c>
      <c r="D8" s="307">
        <f t="shared" ref="D8:I8" si="0">ROUND(D5*$B$8,0)</f>
        <v>406780803</v>
      </c>
      <c r="E8" s="307">
        <f>ROUND(E5*$B$8,0)-1</f>
        <v>81356160</v>
      </c>
      <c r="F8" s="307">
        <f t="shared" si="0"/>
        <v>106779961</v>
      </c>
      <c r="G8" s="307">
        <f t="shared" si="0"/>
        <v>213559922</v>
      </c>
      <c r="H8" s="307">
        <f>ROUND(H5*$B$8,0)-1</f>
        <v>747459725</v>
      </c>
      <c r="I8" s="308">
        <f t="shared" si="0"/>
        <v>1200003369</v>
      </c>
      <c r="J8" s="322">
        <f>'Aug 15'!E1</f>
        <v>810621609.25000024</v>
      </c>
      <c r="K8" s="9"/>
      <c r="O8" s="87" t="s">
        <v>189</v>
      </c>
      <c r="P8" s="336">
        <v>2.9717172510821135E-2</v>
      </c>
      <c r="Q8" s="167"/>
      <c r="R8" s="83"/>
    </row>
    <row r="9" spans="1:18" s="1" customFormat="1">
      <c r="A9" s="43"/>
      <c r="B9" s="139"/>
      <c r="C9" s="63"/>
      <c r="D9" s="63"/>
      <c r="E9" s="63"/>
      <c r="F9" s="63"/>
      <c r="G9" s="63"/>
      <c r="H9" s="63"/>
      <c r="I9" s="309"/>
      <c r="J9" s="323"/>
      <c r="K9" s="83"/>
      <c r="O9" s="87" t="s">
        <v>190</v>
      </c>
      <c r="P9" s="336">
        <v>1.8840984227241904E-2</v>
      </c>
      <c r="Q9" s="167"/>
      <c r="R9" s="83"/>
    </row>
    <row r="10" spans="1:18" s="1" customFormat="1">
      <c r="A10" s="43" t="s">
        <v>67</v>
      </c>
      <c r="B10" s="139">
        <f>SUM(C10:J10)</f>
        <v>9718000940.6499996</v>
      </c>
      <c r="C10" s="63">
        <f>'SC1 MRB'!$J$30</f>
        <v>1795408630</v>
      </c>
      <c r="D10" s="63">
        <f>+'SC2 State Voted'!H10</f>
        <v>150000000</v>
      </c>
      <c r="E10" s="63">
        <f>+'SC3 Small Issue IDBs'!H10</f>
        <v>0</v>
      </c>
      <c r="F10" s="63">
        <f>'SC4 TSAHC'!H11</f>
        <v>56500000</v>
      </c>
      <c r="G10" s="63">
        <f>+'SC4 MF- TDHCA'!H21</f>
        <v>336000000</v>
      </c>
      <c r="H10" s="310">
        <f>'REGION 1'!H10+'REGION 2'!H9+'REGION 3'!H28+'REGION 4'!H9+'REGION 5'!H10+'REGION 6'!H25+'REGION 7'!H26+'REGION 8'!H9+'REGION 9'!H11+'REGION 10'!H9+'REGION 11'!H10+'REGION 12'!H9+'REGION 13'!H10+'SC4 MF- Local Collapse'!H62</f>
        <v>1799610948</v>
      </c>
      <c r="I10" s="309">
        <f>'SC5 OTHER'!$H$107</f>
        <v>3754310947</v>
      </c>
      <c r="J10" s="324">
        <f>'Aug 15'!H33</f>
        <v>1826170415.6500001</v>
      </c>
      <c r="K10" s="2"/>
      <c r="O10" s="87" t="s">
        <v>191</v>
      </c>
      <c r="P10" s="336">
        <v>0.27601652467507426</v>
      </c>
      <c r="Q10" s="167"/>
      <c r="R10" s="83"/>
    </row>
    <row r="11" spans="1:18" s="1" customFormat="1">
      <c r="B11" s="139"/>
      <c r="C11" s="63"/>
      <c r="D11" s="63"/>
      <c r="E11" s="63"/>
      <c r="F11" s="63"/>
      <c r="G11" s="63"/>
      <c r="H11" s="63"/>
      <c r="I11" s="309"/>
      <c r="J11" s="323"/>
      <c r="K11" s="2"/>
      <c r="O11" s="87" t="s">
        <v>192</v>
      </c>
      <c r="P11" s="336">
        <v>3.9456959143442528E-2</v>
      </c>
      <c r="Q11" s="167"/>
      <c r="R11" s="83"/>
    </row>
    <row r="12" spans="1:18" s="1" customFormat="1">
      <c r="A12" s="1" t="s">
        <v>64</v>
      </c>
      <c r="B12" s="139">
        <f>SUM(C12:J12)</f>
        <v>9623000940.6499996</v>
      </c>
      <c r="C12" s="63">
        <f>'SC1 MRB'!$K$30</f>
        <v>1795408630</v>
      </c>
      <c r="D12" s="63">
        <f>+'SC2 State Voted'!I10</f>
        <v>150000000</v>
      </c>
      <c r="E12" s="63">
        <f>+'SC3 Small Issue IDBs'!I10</f>
        <v>0</v>
      </c>
      <c r="F12" s="63">
        <f>'SC4 TSAHC'!I11</f>
        <v>56500000</v>
      </c>
      <c r="G12" s="63">
        <f>'SC4 MF- TDHCA'!I21</f>
        <v>336000000</v>
      </c>
      <c r="H12" s="63">
        <f>'REGION 1'!I10+'REGION 2'!I9+'REGION 3'!I28+'REGION 4'!I9+'REGION 5'!I10+'REGION 6'!I25+'REGION 7'!I26+'REGION 8'!I9+'REGION 9'!I11+'REGION 10'!I9+'REGION 11'!I10+'REGION 12'!I9+'REGION 13'!I10+'SC4 MF- Local Collapse'!I62</f>
        <v>1799610948</v>
      </c>
      <c r="I12" s="309">
        <f>'SC5 OTHER'!$I$107</f>
        <v>3754310947</v>
      </c>
      <c r="J12" s="325">
        <f>'Aug 15'!K33</f>
        <v>1731170415.6500001</v>
      </c>
      <c r="K12" s="2"/>
      <c r="O12" s="87" t="s">
        <v>193</v>
      </c>
      <c r="P12" s="336">
        <v>2.6372334258747618E-2</v>
      </c>
      <c r="Q12" s="167"/>
      <c r="R12" s="83"/>
    </row>
    <row r="13" spans="1:18" s="1" customFormat="1">
      <c r="B13" s="139"/>
      <c r="C13" s="63"/>
      <c r="D13" s="63"/>
      <c r="E13" s="63"/>
      <c r="F13" s="63"/>
      <c r="G13" s="63"/>
      <c r="H13" s="63"/>
      <c r="I13" s="309"/>
      <c r="J13" s="323"/>
      <c r="K13" s="9"/>
      <c r="O13" s="87" t="s">
        <v>194</v>
      </c>
      <c r="P13" s="336">
        <v>0.25036526215620558</v>
      </c>
      <c r="Q13" s="167"/>
      <c r="R13" s="83"/>
    </row>
    <row r="14" spans="1:18" s="1" customFormat="1">
      <c r="A14" s="1" t="s">
        <v>63</v>
      </c>
      <c r="B14" s="139">
        <f>SUM(C14:J14)</f>
        <v>7509360355.5499992</v>
      </c>
      <c r="C14" s="63">
        <f>'SC1 MRB'!N30</f>
        <v>1745273517.9000001</v>
      </c>
      <c r="D14" s="63">
        <f>'SC2 State Voted'!L10</f>
        <v>150000000</v>
      </c>
      <c r="E14" s="63">
        <f>'SC3 Small Issue IDBs'!L10</f>
        <v>0</v>
      </c>
      <c r="F14" s="63">
        <f>'SC4 TSAHC'!L11</f>
        <v>56500000</v>
      </c>
      <c r="G14" s="63">
        <f>'SC4 MF- TDHCA'!L21</f>
        <v>331000000</v>
      </c>
      <c r="H14" s="63">
        <f>'REGION 1'!L10+'REGION 2'!L9+'REGION 3'!L28+'REGION 4'!L9+'REGION 5'!L10+'REGION 6'!L25+'REGION 7'!L26+'REGION 8'!L9+'REGION 9'!L11+'REGION 10'!L9+'REGION 11'!L10+'REGION 12'!L9+'REGION 13'!L10+'SC4 MF- Local Collapse'!L62</f>
        <v>1560610948</v>
      </c>
      <c r="I14" s="309">
        <f>'SC5 OTHER'!L107</f>
        <v>2466305474</v>
      </c>
      <c r="J14" s="325">
        <f>'Aug 15'!N33</f>
        <v>1199670415.6500001</v>
      </c>
      <c r="O14" s="87" t="s">
        <v>195</v>
      </c>
      <c r="P14" s="336">
        <v>8.2586697331200817E-2</v>
      </c>
      <c r="Q14" s="167"/>
      <c r="R14" s="83"/>
    </row>
    <row r="15" spans="1:18" s="1" customFormat="1">
      <c r="B15" s="139"/>
      <c r="C15" s="63"/>
      <c r="D15" s="63"/>
      <c r="E15" s="63"/>
      <c r="F15" s="63"/>
      <c r="G15" s="63"/>
      <c r="H15" s="63"/>
      <c r="I15" s="309"/>
      <c r="J15" s="323"/>
      <c r="K15" s="9"/>
      <c r="O15" s="87" t="s">
        <v>196</v>
      </c>
      <c r="P15" s="336">
        <v>4.3034457629058068E-2</v>
      </c>
      <c r="Q15" s="167"/>
      <c r="R15" s="83"/>
    </row>
    <row r="16" spans="1:18" s="1" customFormat="1">
      <c r="A16" s="1" t="s">
        <v>65</v>
      </c>
      <c r="B16" s="139">
        <f>SUM(C16:J16)</f>
        <v>1094767316.75</v>
      </c>
      <c r="C16" s="63">
        <f>'SC1 MRB'!$P$30</f>
        <v>0</v>
      </c>
      <c r="D16" s="63">
        <f>+'SC2 State Voted'!N10</f>
        <v>99734175.049999997</v>
      </c>
      <c r="E16" s="63">
        <f>+'SC3 Small Issue IDBs'!N10</f>
        <v>0</v>
      </c>
      <c r="F16" s="63">
        <f>'SC4 TSAHC'!N11</f>
        <v>0</v>
      </c>
      <c r="G16" s="63">
        <f>+'SC4 MF- TDHCA'!N21</f>
        <v>0</v>
      </c>
      <c r="H16" s="63">
        <f>'REGION 1'!N10+'REGION 2'!N9+'REGION 3'!N28+'REGION 4'!N9+'REGION 5'!N10+'REGION 6'!N25+'REGION 7'!N26+'REGION 8'!N9+'REGION 9'!N11+'REGION 10'!N9+'REGION 11'!N10+'REGION 12'!N9+'REGION 13'!N10+'SC4 MF- Local Collapse'!N62</f>
        <v>265944404</v>
      </c>
      <c r="I16" s="309">
        <f>'SC5 OTHER'!N107</f>
        <v>708588737.70000005</v>
      </c>
      <c r="J16" s="325">
        <f>'Aug 15'!P33</f>
        <v>20500000</v>
      </c>
      <c r="K16" s="2"/>
      <c r="O16" s="87" t="s">
        <v>197</v>
      </c>
      <c r="P16" s="336">
        <v>9.1628571884412369E-2</v>
      </c>
      <c r="Q16" s="167"/>
      <c r="R16" s="83"/>
    </row>
    <row r="17" spans="1:18" s="1" customFormat="1">
      <c r="B17" s="139"/>
      <c r="C17" s="63"/>
      <c r="D17" s="63"/>
      <c r="E17" s="63"/>
      <c r="F17" s="63"/>
      <c r="G17" s="63"/>
      <c r="H17" s="63"/>
      <c r="I17" s="309"/>
      <c r="J17" s="323"/>
      <c r="K17" s="83"/>
      <c r="O17" s="87" t="s">
        <v>198</v>
      </c>
      <c r="P17" s="336">
        <v>2.66220468645165E-2</v>
      </c>
      <c r="Q17" s="167"/>
      <c r="R17" s="83"/>
    </row>
    <row r="18" spans="1:18" s="1" customFormat="1">
      <c r="A18" s="1" t="s">
        <v>50</v>
      </c>
      <c r="B18" s="139">
        <f>SUM(C18:J18)</f>
        <v>4749272384.6499996</v>
      </c>
      <c r="C18" s="63">
        <f>'SC1 MRB'!$Q$30</f>
        <v>472845000</v>
      </c>
      <c r="D18" s="63">
        <f>+'SC2 State Voted'!O10</f>
        <v>50265824.950000003</v>
      </c>
      <c r="E18" s="63">
        <f>+'SC3 Small Issue IDBs'!O10</f>
        <v>0</v>
      </c>
      <c r="F18" s="63">
        <f>'SC4 TSAHC'!O11</f>
        <v>40000000</v>
      </c>
      <c r="G18" s="63">
        <f>+'SC4 MF- TDHCA'!O21</f>
        <v>61500000</v>
      </c>
      <c r="H18" s="63">
        <f>'REGION 1'!O10+'REGION 2'!O9+'REGION 3'!O28+'REGION 4'!O9+'REGION 5'!O10+'REGION 6'!O25+'REGION 7'!O26+'REGION 8'!O9+'REGION 9'!O11+'REGION 10'!O9+'REGION 11'!O10+'REGION 12'!O9+'REGION 13'!O10+'SC4 MF- Local Collapse'!O62</f>
        <v>1168013807</v>
      </c>
      <c r="I18" s="309">
        <f>'SC5 OTHER'!O107</f>
        <v>2671069472.3000002</v>
      </c>
      <c r="J18" s="325">
        <f>'Aug 15'!Q33</f>
        <v>285578280.39999998</v>
      </c>
      <c r="O18" s="87" t="s">
        <v>199</v>
      </c>
      <c r="P18" s="336">
        <v>6.2651787985831778E-2</v>
      </c>
      <c r="Q18" s="167"/>
      <c r="R18" s="83"/>
    </row>
    <row r="19" spans="1:18" s="1" customFormat="1">
      <c r="A19" s="43"/>
      <c r="B19" s="139"/>
      <c r="C19" s="63"/>
      <c r="D19" s="63"/>
      <c r="E19" s="63"/>
      <c r="F19" s="63"/>
      <c r="G19" s="63"/>
      <c r="H19" s="63"/>
      <c r="I19" s="309"/>
      <c r="J19" s="323"/>
      <c r="O19" s="87" t="s">
        <v>200</v>
      </c>
      <c r="P19" s="336">
        <v>2.2214677700729494E-2</v>
      </c>
      <c r="Q19" s="167"/>
      <c r="R19" s="83"/>
    </row>
    <row r="20" spans="1:18" s="1" customFormat="1">
      <c r="A20" s="43" t="s">
        <v>29</v>
      </c>
      <c r="B20" s="139">
        <f>SUM(C20:J20)</f>
        <v>95000000</v>
      </c>
      <c r="C20" s="63">
        <f>+C10-C12</f>
        <v>0</v>
      </c>
      <c r="D20" s="63">
        <f t="shared" ref="D20:F20" si="1">+D10-D12</f>
        <v>0</v>
      </c>
      <c r="E20" s="63">
        <f t="shared" si="1"/>
        <v>0</v>
      </c>
      <c r="F20" s="63">
        <f t="shared" si="1"/>
        <v>0</v>
      </c>
      <c r="G20" s="63">
        <f>+G10-G12</f>
        <v>0</v>
      </c>
      <c r="H20" s="63">
        <f>+H10-H12</f>
        <v>0</v>
      </c>
      <c r="I20" s="309">
        <f>+I10-I12</f>
        <v>0</v>
      </c>
      <c r="J20" s="325">
        <f>'Aug 15'!H35</f>
        <v>95000000</v>
      </c>
      <c r="K20" s="9"/>
      <c r="O20" s="337" t="s">
        <v>201</v>
      </c>
      <c r="P20" s="338">
        <v>3.0492523632717979E-2</v>
      </c>
      <c r="Q20" s="167"/>
      <c r="R20" s="83"/>
    </row>
    <row r="21" spans="1:18" s="1" customFormat="1">
      <c r="A21" s="43"/>
      <c r="B21" s="139"/>
      <c r="C21" s="63"/>
      <c r="D21" s="63"/>
      <c r="E21" s="63"/>
      <c r="F21" s="63"/>
      <c r="G21" s="63"/>
      <c r="H21" s="63"/>
      <c r="I21" s="309"/>
      <c r="J21" s="323"/>
      <c r="Q21" s="168"/>
    </row>
    <row r="22" spans="1:18" s="1" customFormat="1">
      <c r="A22" s="48" t="s">
        <v>450</v>
      </c>
      <c r="B22" s="471">
        <f>'Aug 15'!H37</f>
        <v>57333474</v>
      </c>
      <c r="C22" s="85">
        <f>+C8-C12+C18+'SC1 MRB'!G39</f>
        <v>19304460</v>
      </c>
      <c r="D22" s="85">
        <f>+D8-D12+D18+'SC2 State Voted'!G18</f>
        <v>307046627.94999999</v>
      </c>
      <c r="E22" s="85">
        <f>+E8-E12+E18+'SC3 Small Issue IDBs'!G18</f>
        <v>81356160</v>
      </c>
      <c r="F22" s="85">
        <f>+F8-F12+F18+'SC4 TSAHC'!G19</f>
        <v>90279961</v>
      </c>
      <c r="G22" s="85">
        <f>+G8-G12+G18+'SC4 MF- TDHCA'!G36</f>
        <v>6609922</v>
      </c>
      <c r="H22" s="85">
        <f>H8-H12+H18+SUM('REGION 1'!G19+'REGION 2'!G16+'REGION 3'!G37+'REGION 4'!G16+'REGION 5'!G16+'REGION 6'!G32+'REGION 7'!G34+'REGION 8'!G17+'REGION 9'!G18+'REGION 10'!G16+'REGION 11'!G17+'REGION 12'!G16+'REGION 13'!G17+'SC4 MF- Local Collapse'!G72)</f>
        <v>167862584</v>
      </c>
      <c r="I22" s="311">
        <f>+I8-I12+I18+'SC5 OTHER'!G119</f>
        <v>138161894.30000019</v>
      </c>
      <c r="J22" s="329">
        <f>J8-J12+J18+'Aug 15'!G51</f>
        <v>57333474</v>
      </c>
      <c r="K22" s="9"/>
      <c r="Q22" s="167"/>
    </row>
    <row r="23" spans="1:18" s="1" customFormat="1">
      <c r="A23" s="48"/>
      <c r="B23" s="305"/>
      <c r="C23" s="63"/>
      <c r="D23" s="63"/>
      <c r="E23" s="63"/>
      <c r="F23" s="63"/>
      <c r="G23" s="63"/>
      <c r="H23" s="63"/>
      <c r="I23" s="309"/>
    </row>
    <row r="24" spans="1:18" s="1" customFormat="1">
      <c r="A24" s="48"/>
      <c r="B24" s="139"/>
      <c r="C24" s="63"/>
      <c r="D24" s="63"/>
      <c r="E24" s="63"/>
      <c r="F24" s="63"/>
      <c r="G24" s="63"/>
      <c r="H24" s="63"/>
      <c r="I24" s="309"/>
    </row>
    <row r="25" spans="1:18">
      <c r="A25" s="13" t="s">
        <v>260</v>
      </c>
      <c r="B25" s="413">
        <f>SUM(C25:I25)</f>
        <v>61566161.709999993</v>
      </c>
      <c r="C25" s="63">
        <f>'2022 CF'!M19</f>
        <v>0</v>
      </c>
      <c r="D25" s="63">
        <v>0</v>
      </c>
      <c r="E25" s="63">
        <v>0</v>
      </c>
      <c r="F25" s="63">
        <v>0</v>
      </c>
      <c r="G25" s="63">
        <v>0</v>
      </c>
      <c r="H25" s="63">
        <f>'2022 CF'!M6+'2022 CF'!M25</f>
        <v>55000318.549999997</v>
      </c>
      <c r="I25" s="309">
        <f>'2022 CF'!M23+'2022 CF'!M24+'2022 CF'!M30</f>
        <v>6565843.1599999964</v>
      </c>
    </row>
    <row r="26" spans="1:18">
      <c r="A26" s="13" t="s">
        <v>328</v>
      </c>
      <c r="B26" s="413">
        <f>SUM(C26:I26)</f>
        <v>326416202.79999971</v>
      </c>
      <c r="C26" s="63">
        <f>'2023 CF'!M32</f>
        <v>0</v>
      </c>
      <c r="D26" s="63">
        <v>0</v>
      </c>
      <c r="E26" s="63">
        <v>0</v>
      </c>
      <c r="F26" s="63">
        <v>0</v>
      </c>
      <c r="G26" s="63">
        <f>'2023 CF'!M6+'2023 CF'!M7</f>
        <v>29000000</v>
      </c>
      <c r="H26" s="63">
        <f>'2023 CF'!M10+'2023 CF'!M12+'2023 CF'!M35+'2023 CF'!M41</f>
        <v>84000000</v>
      </c>
      <c r="I26" s="309">
        <f>'2023 CF'!M11+'2023 CF'!M13+'2023 CF'!M14+'2023 CF'!M36+'2023 CF'!M37+'2023 CF'!M38+'2023 CF'!M39+'2023 CF'!M40</f>
        <v>213416202.79999971</v>
      </c>
    </row>
    <row r="27" spans="1:18">
      <c r="A27" s="13" t="s">
        <v>449</v>
      </c>
      <c r="B27" s="413">
        <f>SUM(C27:I27)</f>
        <v>960638064</v>
      </c>
      <c r="C27" s="63">
        <f>'2024 CF'!M67</f>
        <v>353625311.13</v>
      </c>
      <c r="D27" s="63">
        <v>0</v>
      </c>
      <c r="E27" s="63">
        <v>0</v>
      </c>
      <c r="F27" s="63">
        <f>'2024 CF'!M74</f>
        <v>0</v>
      </c>
      <c r="G27" s="63">
        <f>'2024 CF'!M6+'2024 CF'!M7+'2024 CF'!M72+'2024 CF'!M83+'2024 CF'!M84+'2024 CF'!M85</f>
        <v>20000000</v>
      </c>
      <c r="H27" s="63">
        <f>'2024 CF'!M11+'2024 CF'!M14+'2024 CF'!M16+'2024 CF'!M73+'2024 CF'!M76+'2024 CF'!M77+'2024 CF'!M78+'2024 CF'!M79+'2024 CF'!M81+'2024 CF'!M86+'2024 CF'!M87+'2024 CF'!M88+'2024 CF'!M89+'2024 CF'!M90+'2024 CF'!M91+'2024 CF'!M92+'2024 CF'!M93</f>
        <v>232870030</v>
      </c>
      <c r="I27" s="309">
        <f>'2024 CF'!M12+'2024 CF'!M15+'2024 CF'!M17+'2024 CF'!M18+'2024 CF'!M19+'2024 CF'!M22+'2024 CF'!M24+'2024 CF'!M25+'2024 CF'!M26+'2024 CF'!M70+'2024 CF'!M71+'2024 CF'!M75+'2024 CF'!M80+'2024 CF'!M82+'2024 CF'!M94+'2024 CF'!M95+'2024 CF'!M96+'2024 CF'!M97+'2024 CF'!M102</f>
        <v>354142722.87</v>
      </c>
    </row>
    <row r="28" spans="1:18">
      <c r="B28" s="414"/>
      <c r="C28" s="63"/>
      <c r="D28" s="63"/>
      <c r="E28" s="63"/>
      <c r="F28" s="63"/>
      <c r="G28" s="63"/>
      <c r="H28" s="63"/>
      <c r="I28" s="309"/>
      <c r="K28" s="49"/>
    </row>
    <row r="29" spans="1:18" ht="12" customHeight="1">
      <c r="B29" s="415">
        <f>SUM(B22:B28)</f>
        <v>1405953902.5099998</v>
      </c>
      <c r="C29" s="416">
        <f>SUM(C22:C28)</f>
        <v>372929771.13</v>
      </c>
      <c r="D29" s="417">
        <f t="shared" ref="D29:H29" si="2">SUM(D22:D28)</f>
        <v>307046627.94999999</v>
      </c>
      <c r="E29" s="417">
        <f t="shared" si="2"/>
        <v>81356160</v>
      </c>
      <c r="F29" s="417">
        <f t="shared" si="2"/>
        <v>90279961</v>
      </c>
      <c r="G29" s="417">
        <f t="shared" si="2"/>
        <v>55609922</v>
      </c>
      <c r="H29" s="417">
        <f t="shared" si="2"/>
        <v>539732932.54999995</v>
      </c>
      <c r="I29" s="418">
        <f>SUM(I22:I28)</f>
        <v>712286663.12999988</v>
      </c>
      <c r="K29" s="49"/>
    </row>
    <row r="30" spans="1:18">
      <c r="B30" s="10"/>
      <c r="C30" s="10"/>
      <c r="D30" s="10"/>
      <c r="E30" s="10"/>
      <c r="F30" s="10"/>
      <c r="H30" s="10"/>
      <c r="I30" s="10"/>
      <c r="K30" s="49"/>
    </row>
    <row r="31" spans="1:18" ht="15.6">
      <c r="A31" s="15"/>
      <c r="B31" s="355"/>
      <c r="C31" s="355"/>
      <c r="D31" s="11"/>
      <c r="E31" s="10"/>
      <c r="F31" s="10"/>
      <c r="G31" s="353"/>
      <c r="H31" s="390"/>
      <c r="I31" s="353"/>
    </row>
    <row r="32" spans="1:18" ht="15.6">
      <c r="B32" s="355"/>
      <c r="C32" s="355"/>
      <c r="D32" s="11"/>
      <c r="E32" s="65"/>
      <c r="F32" s="394"/>
      <c r="G32" s="11"/>
      <c r="H32" s="10"/>
      <c r="I32" s="10"/>
    </row>
    <row r="33" spans="1:16" ht="15.6">
      <c r="B33" s="355"/>
      <c r="C33" s="355"/>
      <c r="D33" s="12"/>
      <c r="F33" s="394"/>
      <c r="G33" s="199"/>
      <c r="H33" s="199"/>
      <c r="I33" s="57"/>
    </row>
    <row r="34" spans="1:16" ht="15.6">
      <c r="A34" s="379" t="s">
        <v>284</v>
      </c>
      <c r="B34" s="380">
        <f>ROUND(0.017*$B$8,0)</f>
        <v>69152737</v>
      </c>
      <c r="C34" s="355"/>
      <c r="D34" s="12"/>
      <c r="F34" s="394"/>
      <c r="G34" s="199"/>
      <c r="H34" s="199"/>
      <c r="I34"/>
    </row>
    <row r="35" spans="1:16" ht="15.6">
      <c r="A35" s="379" t="s">
        <v>285</v>
      </c>
      <c r="B35" s="380">
        <f>ROUND(0.034*$B$8,0)</f>
        <v>138305473</v>
      </c>
      <c r="C35" s="355"/>
      <c r="D35" s="199"/>
      <c r="E35" s="458"/>
      <c r="F35" s="199"/>
      <c r="G35" s="199"/>
      <c r="H35" s="199"/>
      <c r="I35" s="258"/>
    </row>
    <row r="36" spans="1:16" ht="15.6">
      <c r="B36" s="355"/>
      <c r="C36" s="355"/>
      <c r="D36" s="13"/>
      <c r="E36" s="458"/>
      <c r="G36"/>
      <c r="H36" s="199"/>
      <c r="I36" s="363"/>
    </row>
    <row r="37" spans="1:16" ht="15.6">
      <c r="B37" s="355"/>
      <c r="C37" s="376"/>
      <c r="D37" s="53"/>
      <c r="E37" s="53"/>
      <c r="F37" s="474"/>
      <c r="G37"/>
      <c r="H37" s="199"/>
      <c r="I37"/>
      <c r="J37" s="375"/>
      <c r="K37" s="375"/>
      <c r="L37" s="375"/>
      <c r="M37" s="375"/>
      <c r="N37" s="375"/>
      <c r="O37" s="375"/>
      <c r="P37" s="375"/>
    </row>
    <row r="38" spans="1:16" ht="15.6">
      <c r="B38" s="355"/>
      <c r="C38" s="355"/>
      <c r="D38" s="49"/>
      <c r="E38" s="95"/>
      <c r="G38"/>
    </row>
    <row r="39" spans="1:16">
      <c r="B39" s="49"/>
      <c r="C39" s="95"/>
      <c r="D39" s="13"/>
      <c r="E39" s="13"/>
      <c r="F39" s="394"/>
      <c r="H39" s="10"/>
    </row>
    <row r="40" spans="1:16">
      <c r="B40" s="13"/>
      <c r="D40" s="98"/>
      <c r="E40" s="13"/>
      <c r="F40" s="394"/>
    </row>
    <row r="41" spans="1:16">
      <c r="B41" s="13"/>
      <c r="D41" s="78"/>
      <c r="E41" s="13"/>
      <c r="F41" s="394"/>
      <c r="H41" s="95"/>
    </row>
    <row r="42" spans="1:16" ht="13.2">
      <c r="B42" s="13"/>
      <c r="C42" s="99"/>
      <c r="D42" s="78"/>
      <c r="E42" s="13"/>
      <c r="F42" s="11"/>
    </row>
    <row r="43" spans="1:16" ht="13.2">
      <c r="B43" s="547"/>
      <c r="C43" s="100"/>
      <c r="D43" s="78"/>
      <c r="E43" s="13"/>
      <c r="F43" s="11"/>
    </row>
    <row r="44" spans="1:16">
      <c r="B44" s="547"/>
      <c r="C44" s="80"/>
      <c r="D44" s="78"/>
      <c r="E44" s="13"/>
    </row>
    <row r="45" spans="1:16">
      <c r="B45" s="13"/>
      <c r="D45" s="13"/>
      <c r="E45" s="13"/>
    </row>
    <row r="46" spans="1:16">
      <c r="B46" s="13"/>
      <c r="D46" s="78"/>
      <c r="E46" s="13"/>
    </row>
    <row r="47" spans="1:16">
      <c r="B47" s="13"/>
      <c r="D47" s="13"/>
      <c r="E47" s="13"/>
      <c r="H47" s="78"/>
    </row>
    <row r="48" spans="1:16">
      <c r="B48" s="13"/>
      <c r="D48" s="13"/>
      <c r="E48" s="13"/>
    </row>
    <row r="49" spans="2:7">
      <c r="B49" s="13"/>
      <c r="D49" s="13"/>
      <c r="E49" s="13"/>
    </row>
    <row r="50" spans="2:7">
      <c r="B50" s="13"/>
      <c r="D50" s="13"/>
      <c r="E50" s="13"/>
    </row>
    <row r="51" spans="2:7">
      <c r="B51" s="13"/>
      <c r="D51" s="13"/>
      <c r="E51" s="13"/>
    </row>
    <row r="52" spans="2:7">
      <c r="B52" s="13"/>
      <c r="D52" s="13"/>
      <c r="E52" s="13"/>
    </row>
    <row r="53" spans="2:7">
      <c r="B53" s="13"/>
      <c r="D53" s="13"/>
      <c r="E53" s="13"/>
    </row>
    <row r="54" spans="2:7">
      <c r="B54" s="49"/>
      <c r="D54" s="13"/>
      <c r="E54" s="13"/>
    </row>
    <row r="55" spans="2:7">
      <c r="B55" s="61"/>
      <c r="D55" s="13"/>
      <c r="E55" s="13"/>
    </row>
    <row r="56" spans="2:7">
      <c r="B56" s="49"/>
      <c r="D56" s="13"/>
      <c r="E56" s="13"/>
    </row>
    <row r="57" spans="2:7">
      <c r="B57" s="49"/>
      <c r="D57" s="13"/>
      <c r="E57" s="13"/>
    </row>
    <row r="58" spans="2:7">
      <c r="B58" s="13"/>
      <c r="D58" s="13"/>
      <c r="E58" s="13"/>
      <c r="F58" s="80"/>
      <c r="G58" s="80"/>
    </row>
    <row r="59" spans="2:7">
      <c r="B59" s="13"/>
      <c r="D59" s="13"/>
      <c r="E59" s="13"/>
    </row>
    <row r="60" spans="2:7">
      <c r="B60" s="13"/>
      <c r="D60" s="13"/>
      <c r="E60" s="13"/>
    </row>
    <row r="61" spans="2:7">
      <c r="B61" s="13"/>
      <c r="D61" s="13"/>
      <c r="E61" s="13"/>
    </row>
    <row r="62" spans="2:7">
      <c r="B62" s="13"/>
      <c r="D62" s="13"/>
      <c r="E62" s="13"/>
    </row>
    <row r="63" spans="2:7">
      <c r="B63" s="13"/>
      <c r="D63" s="13"/>
      <c r="E63" s="13"/>
    </row>
    <row r="64" spans="2:7">
      <c r="B64" s="13"/>
      <c r="D64" s="13"/>
      <c r="E64" s="13"/>
    </row>
    <row r="65" spans="2:9">
      <c r="B65" s="13"/>
      <c r="D65" s="13"/>
      <c r="E65" s="13"/>
    </row>
    <row r="66" spans="2:9">
      <c r="B66" s="13"/>
      <c r="D66" s="13"/>
      <c r="E66" s="13"/>
    </row>
    <row r="67" spans="2:9">
      <c r="B67" s="13"/>
      <c r="D67" s="13"/>
      <c r="E67" s="13"/>
    </row>
    <row r="68" spans="2:9">
      <c r="B68" s="13"/>
      <c r="D68" s="13"/>
      <c r="E68" s="13"/>
    </row>
    <row r="69" spans="2:9">
      <c r="B69" s="13"/>
      <c r="D69" s="13"/>
      <c r="E69" s="13"/>
    </row>
    <row r="70" spans="2:9">
      <c r="B70" s="13"/>
      <c r="D70" s="13"/>
      <c r="E70" s="13"/>
    </row>
    <row r="71" spans="2:9">
      <c r="B71" s="13"/>
      <c r="D71" s="13"/>
      <c r="E71" s="13"/>
    </row>
    <row r="72" spans="2:9">
      <c r="B72" s="13"/>
      <c r="D72" s="13"/>
      <c r="E72" s="13"/>
    </row>
    <row r="73" spans="2:9">
      <c r="B73" s="13"/>
      <c r="D73" s="13"/>
      <c r="E73" s="13"/>
    </row>
    <row r="74" spans="2:9">
      <c r="B74" s="13"/>
      <c r="D74" s="13"/>
      <c r="E74" s="13"/>
      <c r="F74" s="78"/>
      <c r="G74" s="78"/>
    </row>
    <row r="75" spans="2:9">
      <c r="B75" s="13"/>
      <c r="D75" s="61"/>
      <c r="E75" s="61"/>
      <c r="F75" s="61"/>
      <c r="G75" s="61"/>
      <c r="I75" s="80"/>
    </row>
    <row r="76" spans="2:9">
      <c r="B76" s="13"/>
      <c r="D76" s="13"/>
      <c r="E76" s="13"/>
      <c r="F76" s="78"/>
      <c r="G76" s="78"/>
    </row>
    <row r="77" spans="2:9">
      <c r="B77" s="13"/>
      <c r="D77" s="13"/>
      <c r="E77" s="13"/>
      <c r="F77" s="80"/>
      <c r="G77" s="80"/>
    </row>
    <row r="78" spans="2:9">
      <c r="B78" s="13"/>
      <c r="C78" s="8"/>
      <c r="D78" s="13"/>
      <c r="E78" s="13"/>
    </row>
    <row r="79" spans="2:9">
      <c r="B79" s="13"/>
      <c r="D79" s="13"/>
      <c r="E79" s="13"/>
    </row>
    <row r="80" spans="2:9">
      <c r="B80" s="13"/>
      <c r="D80" s="13"/>
      <c r="E80" s="13"/>
    </row>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sheetData>
  <phoneticPr fontId="0" type="noConversion"/>
  <pageMargins left="0.05" right="0.05" top="0.75" bottom="0.75" header="0.3" footer="0.3"/>
  <pageSetup scale="86" fitToHeight="0" orientation="landscape" r:id="rId1"/>
  <headerFooter alignWithMargins="0">
    <oddHeader>&amp;C&amp;"Geneva,Bold"&amp;10STATE OF TEXAS
2016 PRIVATE ACTIVITY BOND ALLOCATION PROGRAM</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0" tint="-0.499984740745262"/>
  </sheetPr>
  <dimension ref="A1:V26"/>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4" sqref="H14"/>
    </sheetView>
  </sheetViews>
  <sheetFormatPr defaultColWidth="10.875" defaultRowHeight="12"/>
  <cols>
    <col min="1" max="1" width="9.375" style="13" customWidth="1"/>
    <col min="2" max="2" width="7.125" style="13" bestFit="1" customWidth="1"/>
    <col min="3" max="3" width="10.125" style="13" bestFit="1" customWidth="1"/>
    <col min="4" max="4" width="8.625" style="13" bestFit="1" customWidth="1"/>
    <col min="5" max="5" width="22.375" style="13" bestFit="1" customWidth="1"/>
    <col min="6" max="6" width="37.75" style="13" bestFit="1" customWidth="1"/>
    <col min="7" max="7" width="11.25" style="13" bestFit="1"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customWidth="1"/>
    <col min="19" max="16384" width="10.875" style="13"/>
  </cols>
  <sheetData>
    <row r="1" spans="1:22" s="17" customFormat="1" ht="11.4">
      <c r="A1" s="16" t="s">
        <v>12</v>
      </c>
      <c r="B1" s="290"/>
      <c r="C1" s="290"/>
      <c r="E1" s="378">
        <f>ROUND(Totals!$H$8*Totals!$P$8, 0)-1</f>
        <v>22212389</v>
      </c>
      <c r="F1" s="18"/>
      <c r="G1" s="18"/>
      <c r="H1" s="330"/>
      <c r="I1" s="331"/>
      <c r="J1" s="283"/>
      <c r="K1" s="283"/>
      <c r="L1" s="331"/>
      <c r="M1" s="283"/>
      <c r="N1" s="330"/>
      <c r="O1" s="330"/>
      <c r="P1" s="283"/>
      <c r="R1" s="284"/>
      <c r="S1" s="5"/>
      <c r="T1" s="5"/>
      <c r="U1" s="5"/>
      <c r="V1" s="5"/>
    </row>
    <row r="2" spans="1:22" s="5" customFormat="1" ht="11.4">
      <c r="A2" s="25" t="s">
        <v>69</v>
      </c>
      <c r="B2" s="48"/>
      <c r="C2" s="48"/>
      <c r="E2" s="26"/>
      <c r="F2" s="26"/>
      <c r="G2" s="26"/>
      <c r="H2" s="46"/>
      <c r="I2" s="47"/>
      <c r="J2" s="6"/>
      <c r="K2" s="6"/>
      <c r="L2" s="47"/>
      <c r="M2" s="6"/>
      <c r="N2" s="46"/>
      <c r="O2" s="46"/>
      <c r="P2" s="6"/>
      <c r="R2" s="285"/>
    </row>
    <row r="3" spans="1:22">
      <c r="A3" s="137"/>
      <c r="H3" s="44"/>
      <c r="I3" s="42"/>
      <c r="J3" s="11"/>
      <c r="K3" s="11"/>
      <c r="L3" s="59"/>
      <c r="N3" s="53"/>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97" customFormat="1">
      <c r="A7" s="497">
        <v>22</v>
      </c>
      <c r="B7" s="497">
        <v>40</v>
      </c>
      <c r="C7" s="497" t="s">
        <v>452</v>
      </c>
      <c r="D7" s="497" t="s">
        <v>43</v>
      </c>
      <c r="E7" s="497" t="s">
        <v>212</v>
      </c>
      <c r="F7" s="498" t="s">
        <v>329</v>
      </c>
      <c r="G7" s="498" t="s">
        <v>213</v>
      </c>
      <c r="H7" s="499">
        <v>0</v>
      </c>
      <c r="I7" s="499"/>
      <c r="J7" s="500"/>
      <c r="K7" s="500"/>
      <c r="L7" s="501"/>
      <c r="M7" s="500"/>
      <c r="N7" s="501"/>
      <c r="O7" s="502"/>
      <c r="P7" s="500"/>
      <c r="Q7" s="497" t="s">
        <v>209</v>
      </c>
    </row>
    <row r="8" spans="1:22" s="497" customFormat="1">
      <c r="A8" s="497">
        <v>26</v>
      </c>
      <c r="B8" s="497">
        <v>48</v>
      </c>
      <c r="C8" s="497" t="s">
        <v>453</v>
      </c>
      <c r="D8" s="497" t="s">
        <v>43</v>
      </c>
      <c r="E8" s="497" t="s">
        <v>265</v>
      </c>
      <c r="F8" s="498" t="s">
        <v>454</v>
      </c>
      <c r="G8" s="498" t="s">
        <v>211</v>
      </c>
      <c r="H8" s="499">
        <v>0</v>
      </c>
      <c r="I8" s="499"/>
      <c r="J8" s="500"/>
      <c r="K8" s="500"/>
      <c r="L8" s="501"/>
      <c r="M8" s="500"/>
      <c r="N8" s="501"/>
      <c r="O8" s="502"/>
      <c r="P8" s="500"/>
      <c r="Q8" s="497" t="s">
        <v>264</v>
      </c>
    </row>
    <row r="9" spans="1:22">
      <c r="F9" s="36"/>
      <c r="G9" s="36"/>
      <c r="H9" s="288"/>
      <c r="I9" s="288"/>
      <c r="J9" s="11"/>
      <c r="K9" s="11"/>
      <c r="L9" s="348"/>
      <c r="N9" s="348"/>
      <c r="O9" s="312"/>
      <c r="P9" s="11"/>
    </row>
    <row r="10" spans="1:22">
      <c r="A10" s="43"/>
      <c r="B10" s="43"/>
      <c r="C10" s="43"/>
      <c r="D10" s="43"/>
      <c r="E10" s="1"/>
      <c r="F10" s="13" t="s">
        <v>19</v>
      </c>
      <c r="H10" s="262">
        <f>SUM(H7:H9)</f>
        <v>0</v>
      </c>
      <c r="I10" s="262">
        <f>SUM(I7:I9)</f>
        <v>0</v>
      </c>
      <c r="J10" s="10"/>
      <c r="K10" s="10"/>
      <c r="L10" s="262">
        <f>SUM(L7:L9)</f>
        <v>0</v>
      </c>
      <c r="M10" s="10"/>
      <c r="N10" s="262">
        <f>SUM(N7:N9)</f>
        <v>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10</v>
      </c>
      <c r="G14" s="5"/>
      <c r="H14" s="77">
        <f>E1-I10+O10+G19</f>
        <v>22212389</v>
      </c>
      <c r="I14" s="291"/>
      <c r="J14" s="138"/>
      <c r="L14" s="9"/>
      <c r="M14" s="138"/>
      <c r="Q14" s="13"/>
    </row>
    <row r="15" spans="1:22" s="1" customFormat="1">
      <c r="A15" s="5"/>
      <c r="B15" s="5"/>
      <c r="C15" s="5"/>
      <c r="E15" s="133"/>
      <c r="F15" s="58"/>
      <c r="G15" s="5"/>
      <c r="H15" s="124"/>
      <c r="I15" s="291"/>
      <c r="J15" s="138"/>
      <c r="L15" s="9"/>
      <c r="M15" s="138"/>
      <c r="Q15" s="13"/>
    </row>
    <row r="16" spans="1:22" s="1" customFormat="1">
      <c r="A16" s="5"/>
      <c r="B16" s="5"/>
      <c r="C16" s="5"/>
      <c r="E16" s="133"/>
      <c r="F16" s="58"/>
      <c r="G16" s="5"/>
      <c r="H16" s="124"/>
      <c r="I16" s="291"/>
      <c r="J16" s="138"/>
      <c r="L16" s="9"/>
      <c r="M16" s="138"/>
      <c r="Q16" s="13"/>
    </row>
    <row r="17" spans="1:9">
      <c r="D17" s="43"/>
    </row>
    <row r="18" spans="1:9">
      <c r="E18" s="58"/>
      <c r="F18" s="58"/>
      <c r="G18" s="296"/>
      <c r="H18" s="35"/>
    </row>
    <row r="19" spans="1:9">
      <c r="A19" s="43"/>
      <c r="B19" s="43"/>
      <c r="C19" s="43"/>
      <c r="D19" s="43"/>
      <c r="G19" s="294">
        <f>SUM(G16:G18)</f>
        <v>0</v>
      </c>
    </row>
    <row r="20" spans="1:9">
      <c r="E20" s="43"/>
      <c r="F20" s="43"/>
      <c r="G20" s="43"/>
      <c r="H20" s="43"/>
      <c r="I20" s="51"/>
    </row>
    <row r="21" spans="1:9">
      <c r="A21" s="94"/>
      <c r="B21" s="94"/>
      <c r="C21" s="94"/>
      <c r="D21" s="94"/>
    </row>
    <row r="22" spans="1:9">
      <c r="E22" s="94"/>
      <c r="F22" s="94"/>
      <c r="G22" s="94"/>
      <c r="H22" s="94"/>
      <c r="I22" s="118"/>
    </row>
    <row r="23" spans="1:9">
      <c r="A23" s="93"/>
      <c r="B23" s="93"/>
      <c r="C23" s="93"/>
      <c r="D23" s="93"/>
    </row>
    <row r="24" spans="1:9">
      <c r="E24" s="93"/>
      <c r="F24" s="132"/>
      <c r="G24" s="93"/>
      <c r="H24" s="93"/>
    </row>
    <row r="25" spans="1:9">
      <c r="A25" s="93"/>
      <c r="B25" s="93"/>
      <c r="C25" s="93"/>
      <c r="D25" s="93"/>
    </row>
    <row r="26" spans="1:9">
      <c r="E26" s="93"/>
      <c r="F26" s="93"/>
      <c r="G26" s="93"/>
      <c r="H26" s="93"/>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theme="0" tint="-0.499984740745262"/>
  </sheetPr>
  <dimension ref="A1:V29"/>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3" sqref="H13"/>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1.625" style="13" customWidth="1"/>
    <col min="6" max="6" width="33.75" style="13" customWidth="1"/>
    <col min="7" max="7" width="12" style="13"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90"/>
      <c r="C1" s="290"/>
      <c r="E1" s="378">
        <f>ROUND(Totals!$H$8*Totals!$P$9, 0)</f>
        <v>14082877</v>
      </c>
      <c r="F1" s="18"/>
      <c r="G1" s="18"/>
      <c r="H1" s="330"/>
      <c r="I1" s="331"/>
      <c r="J1" s="283"/>
      <c r="K1" s="283"/>
      <c r="L1" s="331"/>
      <c r="M1" s="283"/>
      <c r="N1" s="330"/>
      <c r="O1" s="330"/>
      <c r="P1" s="283"/>
      <c r="R1" s="284"/>
      <c r="S1" s="5"/>
      <c r="T1" s="5"/>
      <c r="U1" s="5"/>
      <c r="V1" s="5"/>
    </row>
    <row r="2" spans="1:22" s="5" customFormat="1" ht="11.4">
      <c r="A2" s="25" t="s">
        <v>70</v>
      </c>
      <c r="B2" s="48"/>
      <c r="C2" s="48"/>
      <c r="E2" s="26"/>
      <c r="F2" s="26"/>
      <c r="G2" s="26"/>
      <c r="H2" s="46"/>
      <c r="I2" s="47"/>
      <c r="J2" s="6"/>
      <c r="K2" s="6"/>
      <c r="L2" s="47"/>
      <c r="M2" s="6"/>
      <c r="N2" s="46"/>
      <c r="O2" s="46"/>
      <c r="P2" s="6"/>
      <c r="R2" s="285"/>
    </row>
    <row r="3" spans="1:22">
      <c r="A3" s="137"/>
      <c r="H3" s="44"/>
      <c r="I3" s="42"/>
      <c r="J3" s="11"/>
      <c r="K3" s="11"/>
      <c r="L3" s="59"/>
      <c r="N3" s="53"/>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97" customFormat="1">
      <c r="A7" s="497">
        <v>58</v>
      </c>
      <c r="B7" s="497">
        <v>34</v>
      </c>
      <c r="C7" s="497" t="s">
        <v>455</v>
      </c>
      <c r="D7" s="497" t="s">
        <v>43</v>
      </c>
      <c r="E7" s="497" t="s">
        <v>394</v>
      </c>
      <c r="F7" s="498" t="s">
        <v>395</v>
      </c>
      <c r="G7" s="498" t="s">
        <v>148</v>
      </c>
      <c r="H7" s="503">
        <v>0</v>
      </c>
      <c r="I7" s="499"/>
      <c r="J7" s="500"/>
      <c r="K7" s="500"/>
      <c r="L7" s="499"/>
      <c r="M7" s="500"/>
      <c r="N7" s="499"/>
      <c r="O7" s="499"/>
      <c r="P7" s="500"/>
      <c r="Q7" s="497" t="s">
        <v>241</v>
      </c>
      <c r="R7" s="500"/>
    </row>
    <row r="8" spans="1:22">
      <c r="F8" s="36"/>
      <c r="G8" s="36"/>
      <c r="H8" s="59"/>
      <c r="I8" s="59"/>
      <c r="J8" s="11"/>
      <c r="K8" s="11"/>
      <c r="L8" s="45"/>
      <c r="N8" s="45"/>
      <c r="O8" s="53"/>
      <c r="P8" s="11"/>
    </row>
    <row r="9" spans="1:22">
      <c r="A9" s="43"/>
      <c r="B9" s="43"/>
      <c r="C9" s="43"/>
      <c r="D9" s="43"/>
      <c r="E9" s="1"/>
      <c r="F9" s="13" t="s">
        <v>19</v>
      </c>
      <c r="H9" s="262">
        <f>SUM(H7:H8)</f>
        <v>0</v>
      </c>
      <c r="I9" s="262">
        <f>SUM(I7:I8)</f>
        <v>0</v>
      </c>
      <c r="J9" s="10"/>
      <c r="K9" s="10"/>
      <c r="L9" s="262">
        <f>SUM(L7:L8)</f>
        <v>0</v>
      </c>
      <c r="M9" s="10"/>
      <c r="N9" s="262">
        <f t="shared" ref="N9:O9" si="0">SUM(N7:N8)</f>
        <v>0</v>
      </c>
      <c r="O9" s="262">
        <f t="shared" si="0"/>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H9-I9</f>
        <v>0</v>
      </c>
      <c r="I11" s="9"/>
      <c r="L11" s="9"/>
      <c r="Q11" s="13"/>
    </row>
    <row r="12" spans="1:22" s="1" customFormat="1">
      <c r="A12" s="5"/>
      <c r="B12" s="5"/>
      <c r="C12" s="5"/>
      <c r="E12" s="5"/>
      <c r="G12" s="5"/>
      <c r="H12" s="67"/>
      <c r="I12" s="9"/>
      <c r="K12" s="138"/>
      <c r="L12" s="9"/>
      <c r="N12" s="76"/>
      <c r="Q12" s="13"/>
    </row>
    <row r="13" spans="1:22" s="1" customFormat="1">
      <c r="A13" s="5"/>
      <c r="B13" s="5"/>
      <c r="C13" s="5"/>
      <c r="E13" s="133"/>
      <c r="F13" s="58" t="s">
        <v>10</v>
      </c>
      <c r="G13" s="5"/>
      <c r="H13" s="77">
        <f>+E1-I9+O9+G16</f>
        <v>14082877</v>
      </c>
      <c r="I13" s="291"/>
      <c r="J13" s="138"/>
      <c r="L13" s="9"/>
      <c r="M13" s="138"/>
      <c r="Q13" s="13"/>
    </row>
    <row r="14" spans="1:22">
      <c r="D14" s="43"/>
      <c r="L14" s="400"/>
    </row>
    <row r="15" spans="1:22">
      <c r="E15" s="58"/>
      <c r="F15" s="58"/>
      <c r="G15" s="296"/>
      <c r="H15" s="35"/>
    </row>
    <row r="16" spans="1:22">
      <c r="A16" s="43"/>
      <c r="B16" s="43"/>
      <c r="C16" s="43"/>
      <c r="D16" s="43"/>
      <c r="G16" s="295"/>
      <c r="L16" s="13"/>
      <c r="M16" s="13"/>
      <c r="N16" s="13"/>
      <c r="O16" s="13"/>
    </row>
    <row r="17" spans="1:15">
      <c r="E17" s="43"/>
      <c r="F17" s="43"/>
      <c r="G17" s="43"/>
      <c r="H17" s="43"/>
      <c r="I17" s="51"/>
      <c r="L17" s="13"/>
      <c r="M17" s="13"/>
      <c r="N17" s="13"/>
      <c r="O17" s="13"/>
    </row>
    <row r="18" spans="1:15">
      <c r="A18" s="94"/>
      <c r="B18" s="94"/>
      <c r="C18" s="94"/>
      <c r="D18" s="94"/>
      <c r="L18" s="13"/>
      <c r="M18" s="13"/>
      <c r="N18" s="13"/>
      <c r="O18" s="13"/>
    </row>
    <row r="19" spans="1:15">
      <c r="E19" s="94"/>
      <c r="F19" s="94"/>
      <c r="G19" s="94"/>
      <c r="H19" s="94"/>
      <c r="I19" s="118"/>
      <c r="L19" s="13"/>
      <c r="M19" s="13"/>
      <c r="N19" s="13"/>
      <c r="O19" s="13"/>
    </row>
    <row r="20" spans="1:15">
      <c r="A20" s="93"/>
      <c r="B20" s="93"/>
      <c r="C20" s="93"/>
      <c r="D20" s="93"/>
      <c r="L20" s="13"/>
      <c r="M20" s="13"/>
      <c r="N20" s="13"/>
      <c r="O20" s="13"/>
    </row>
    <row r="21" spans="1:15">
      <c r="E21" s="93"/>
      <c r="F21" s="132"/>
      <c r="G21" s="93"/>
      <c r="H21" s="93"/>
      <c r="L21" s="13"/>
      <c r="M21" s="13"/>
      <c r="N21" s="13"/>
      <c r="O21" s="13"/>
    </row>
    <row r="22" spans="1:15">
      <c r="A22" s="93"/>
      <c r="B22" s="93"/>
      <c r="C22" s="93"/>
      <c r="D22" s="93"/>
      <c r="L22" s="13"/>
      <c r="M22" s="13"/>
      <c r="N22" s="13"/>
      <c r="O22" s="13"/>
    </row>
    <row r="23" spans="1:15">
      <c r="E23" s="93"/>
      <c r="F23" s="93"/>
      <c r="G23" s="93"/>
      <c r="H23" s="93"/>
      <c r="L23" s="13"/>
      <c r="M23" s="13"/>
      <c r="N23" s="13"/>
      <c r="O23" s="13"/>
    </row>
    <row r="25" spans="1:15">
      <c r="J25" s="11"/>
      <c r="L25" s="13"/>
      <c r="M25" s="13"/>
      <c r="N25" s="13"/>
      <c r="O25" s="13"/>
    </row>
    <row r="26" spans="1:15">
      <c r="J26" s="11"/>
      <c r="L26" s="13"/>
      <c r="M26" s="13"/>
      <c r="N26" s="13"/>
      <c r="O26" s="13"/>
    </row>
    <row r="27" spans="1:15">
      <c r="J27" s="11"/>
      <c r="L27" s="13"/>
      <c r="M27" s="13"/>
      <c r="N27" s="13"/>
      <c r="O27" s="13"/>
    </row>
    <row r="28" spans="1:15">
      <c r="J28" s="11"/>
      <c r="L28" s="13"/>
      <c r="M28" s="13"/>
      <c r="N28" s="13"/>
      <c r="O28" s="13"/>
    </row>
    <row r="29" spans="1:15">
      <c r="J29" s="11"/>
      <c r="L29" s="13"/>
      <c r="M29" s="13"/>
      <c r="N29" s="13"/>
      <c r="O29" s="13"/>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0" tint="-0.499984740745262"/>
  </sheetPr>
  <dimension ref="A1:V43"/>
  <sheetViews>
    <sheetView zoomScaleNormal="100" workbookViewId="0">
      <selection activeCell="H32" sqref="H32"/>
    </sheetView>
  </sheetViews>
  <sheetFormatPr defaultColWidth="10.875" defaultRowHeight="12"/>
  <cols>
    <col min="1" max="1" width="8" style="13" customWidth="1"/>
    <col min="2" max="2" width="6.125" style="13" customWidth="1"/>
    <col min="3" max="3" width="9.25" style="13" bestFit="1" customWidth="1"/>
    <col min="4" max="4" width="13.25" style="13" customWidth="1"/>
    <col min="5" max="5" width="20.25" style="13" customWidth="1"/>
    <col min="6" max="6" width="31" style="13" customWidth="1"/>
    <col min="7" max="7" width="13" style="13" bestFit="1" customWidth="1"/>
    <col min="8" max="8" width="15.25" style="12" bestFit="1" customWidth="1"/>
    <col min="9" max="9" width="14.2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customWidth="1"/>
    <col min="15" max="15" width="12.25" style="12" bestFit="1" customWidth="1"/>
    <col min="16" max="16" width="10.625" style="13" bestFit="1" customWidth="1"/>
    <col min="17" max="17" width="10.25" style="13" bestFit="1" customWidth="1"/>
    <col min="18" max="18" width="42.75" style="13" bestFit="1" customWidth="1"/>
    <col min="19" max="19" width="16.75" style="13" bestFit="1" customWidth="1"/>
    <col min="20" max="20" width="14.25" style="13" bestFit="1" customWidth="1"/>
    <col min="21" max="16384" width="10.875" style="13"/>
  </cols>
  <sheetData>
    <row r="1" spans="1:22" s="17" customFormat="1" ht="11.4">
      <c r="A1" s="16" t="s">
        <v>12</v>
      </c>
      <c r="B1" s="290"/>
      <c r="C1" s="290"/>
      <c r="E1" s="378">
        <f>ROUND(Totals!$H$8*Totals!$P$10, 0)</f>
        <v>206311236</v>
      </c>
      <c r="F1" s="18"/>
      <c r="G1" s="18"/>
      <c r="H1" s="330"/>
      <c r="I1" s="331"/>
      <c r="J1" s="283"/>
      <c r="K1" s="283"/>
      <c r="L1" s="331"/>
      <c r="M1" s="283"/>
      <c r="N1" s="330"/>
      <c r="O1" s="330"/>
      <c r="P1" s="283"/>
      <c r="R1" s="284"/>
      <c r="S1" s="5"/>
      <c r="T1" s="5"/>
      <c r="U1" s="5"/>
      <c r="V1" s="5"/>
    </row>
    <row r="2" spans="1:22" s="5" customFormat="1" ht="11.4">
      <c r="A2" s="25" t="s">
        <v>40</v>
      </c>
      <c r="B2" s="48"/>
      <c r="C2" s="48"/>
      <c r="E2" s="26"/>
      <c r="F2" s="26"/>
      <c r="G2" s="26"/>
      <c r="H2" s="46"/>
      <c r="I2" s="47"/>
      <c r="J2" s="6"/>
      <c r="K2" s="6"/>
      <c r="L2" s="47"/>
      <c r="M2" s="6"/>
      <c r="N2" s="46"/>
      <c r="O2" s="46"/>
      <c r="P2" s="6"/>
      <c r="R2" s="285"/>
    </row>
    <row r="3" spans="1:22">
      <c r="A3" s="137"/>
      <c r="H3" s="44"/>
      <c r="I3" s="42"/>
      <c r="J3" s="11"/>
      <c r="K3" s="11"/>
      <c r="L3" s="59"/>
      <c r="N3" s="53"/>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3"/>
      <c r="E6" s="33"/>
      <c r="F6" s="39"/>
      <c r="G6" s="39"/>
      <c r="H6" s="130"/>
      <c r="I6" s="55"/>
      <c r="J6" s="40"/>
      <c r="K6" s="40"/>
      <c r="L6" s="55"/>
      <c r="M6" s="40"/>
      <c r="N6" s="55"/>
      <c r="O6" s="55"/>
      <c r="P6" s="40"/>
      <c r="Q6" s="38"/>
      <c r="R6" s="382" t="s">
        <v>9</v>
      </c>
      <c r="S6" s="13"/>
      <c r="T6" s="13"/>
      <c r="U6" s="13"/>
      <c r="V6" s="13"/>
    </row>
    <row r="7" spans="1:22">
      <c r="A7" s="13">
        <v>9</v>
      </c>
      <c r="B7" s="13">
        <v>13</v>
      </c>
      <c r="C7" s="13">
        <v>5274</v>
      </c>
      <c r="D7" s="13" t="s">
        <v>391</v>
      </c>
      <c r="E7" s="13" t="s">
        <v>464</v>
      </c>
      <c r="F7" s="36" t="s">
        <v>465</v>
      </c>
      <c r="G7" s="36" t="s">
        <v>167</v>
      </c>
      <c r="H7" s="420">
        <v>10000000</v>
      </c>
      <c r="I7" s="288">
        <v>10000000</v>
      </c>
      <c r="J7" s="11">
        <v>44205</v>
      </c>
      <c r="K7" s="11">
        <f>J7+35</f>
        <v>44240</v>
      </c>
      <c r="L7" s="288">
        <v>10000000</v>
      </c>
      <c r="M7" s="11">
        <f>J7+180</f>
        <v>44385</v>
      </c>
      <c r="N7" s="288">
        <v>5000000</v>
      </c>
      <c r="O7" s="288">
        <f>L7-N7</f>
        <v>5000000</v>
      </c>
      <c r="P7" s="11">
        <v>44394</v>
      </c>
      <c r="Q7" s="13" t="s">
        <v>210</v>
      </c>
      <c r="R7" s="440" t="s">
        <v>630</v>
      </c>
    </row>
    <row r="8" spans="1:22">
      <c r="A8" s="13">
        <v>29</v>
      </c>
      <c r="B8" s="13">
        <v>51</v>
      </c>
      <c r="C8" s="13" t="s">
        <v>456</v>
      </c>
      <c r="D8" s="13" t="s">
        <v>390</v>
      </c>
      <c r="E8" s="13" t="s">
        <v>266</v>
      </c>
      <c r="F8" s="36" t="s">
        <v>331</v>
      </c>
      <c r="G8" s="36" t="s">
        <v>78</v>
      </c>
      <c r="H8" s="420">
        <v>0</v>
      </c>
      <c r="I8" s="288"/>
      <c r="J8" s="11"/>
      <c r="K8" s="11"/>
      <c r="L8" s="288"/>
      <c r="N8" s="288"/>
      <c r="O8" s="288"/>
      <c r="P8" s="11"/>
      <c r="Q8" s="13" t="s">
        <v>264</v>
      </c>
      <c r="R8" s="93" t="s">
        <v>626</v>
      </c>
    </row>
    <row r="9" spans="1:22">
      <c r="A9" s="13">
        <v>34</v>
      </c>
      <c r="B9" s="13">
        <v>56</v>
      </c>
      <c r="C9" s="13" t="s">
        <v>457</v>
      </c>
      <c r="D9" s="13" t="s">
        <v>390</v>
      </c>
      <c r="E9" s="13" t="s">
        <v>266</v>
      </c>
      <c r="F9" s="36" t="s">
        <v>330</v>
      </c>
      <c r="G9" s="36" t="s">
        <v>78</v>
      </c>
      <c r="H9" s="420">
        <v>0</v>
      </c>
      <c r="I9" s="288"/>
      <c r="J9" s="11"/>
      <c r="K9" s="11"/>
      <c r="L9" s="288"/>
      <c r="N9" s="288"/>
      <c r="O9" s="288"/>
      <c r="P9" s="11"/>
      <c r="Q9" s="13" t="s">
        <v>264</v>
      </c>
      <c r="R9" s="93"/>
    </row>
    <row r="10" spans="1:22">
      <c r="A10" s="13">
        <v>36</v>
      </c>
      <c r="B10" s="13">
        <v>58</v>
      </c>
      <c r="C10" s="13">
        <v>5291</v>
      </c>
      <c r="D10" s="13" t="s">
        <v>391</v>
      </c>
      <c r="E10" s="13" t="s">
        <v>267</v>
      </c>
      <c r="F10" s="36" t="s">
        <v>466</v>
      </c>
      <c r="G10" s="36" t="s">
        <v>215</v>
      </c>
      <c r="H10" s="420">
        <v>50000000</v>
      </c>
      <c r="I10" s="288">
        <f>H10</f>
        <v>50000000</v>
      </c>
      <c r="J10" s="11">
        <v>44209</v>
      </c>
      <c r="K10" s="11">
        <f>J10+35</f>
        <v>44244</v>
      </c>
      <c r="L10" s="288">
        <v>50000000</v>
      </c>
      <c r="M10" s="11">
        <f>J10+180</f>
        <v>44389</v>
      </c>
      <c r="N10" s="288">
        <v>46535000</v>
      </c>
      <c r="O10" s="288">
        <f>L10-N10</f>
        <v>3465000</v>
      </c>
      <c r="P10" s="11">
        <v>44398</v>
      </c>
      <c r="Q10" s="13" t="s">
        <v>264</v>
      </c>
      <c r="R10" s="440" t="s">
        <v>637</v>
      </c>
    </row>
    <row r="11" spans="1:22">
      <c r="A11" s="13">
        <v>38</v>
      </c>
      <c r="B11" s="13">
        <v>59</v>
      </c>
      <c r="C11" s="13">
        <v>5298</v>
      </c>
      <c r="D11" s="13" t="s">
        <v>391</v>
      </c>
      <c r="E11" s="13" t="s">
        <v>266</v>
      </c>
      <c r="F11" s="36" t="s">
        <v>333</v>
      </c>
      <c r="G11" s="36" t="s">
        <v>78</v>
      </c>
      <c r="H11" s="420">
        <v>35000000</v>
      </c>
      <c r="I11" s="288">
        <v>35000000</v>
      </c>
      <c r="J11" s="11">
        <v>44210</v>
      </c>
      <c r="K11" s="11">
        <f>J11+35</f>
        <v>44245</v>
      </c>
      <c r="L11" s="288">
        <v>35000000</v>
      </c>
      <c r="M11" s="11">
        <f>J11+180</f>
        <v>44390</v>
      </c>
      <c r="N11" s="288">
        <v>32000000</v>
      </c>
      <c r="O11" s="288">
        <f>L11-N11</f>
        <v>3000000</v>
      </c>
      <c r="P11" s="11">
        <v>44394</v>
      </c>
      <c r="Q11" s="13" t="s">
        <v>264</v>
      </c>
      <c r="R11" s="440" t="s">
        <v>639</v>
      </c>
      <c r="S11" s="466"/>
    </row>
    <row r="12" spans="1:22" s="5" customFormat="1">
      <c r="A12" s="13">
        <v>42</v>
      </c>
      <c r="B12" s="13">
        <v>64</v>
      </c>
      <c r="C12" s="13" t="s">
        <v>458</v>
      </c>
      <c r="D12" s="13" t="s">
        <v>390</v>
      </c>
      <c r="E12" s="13" t="s">
        <v>266</v>
      </c>
      <c r="F12" s="36" t="s">
        <v>467</v>
      </c>
      <c r="G12" s="36" t="s">
        <v>78</v>
      </c>
      <c r="H12" s="420">
        <v>0</v>
      </c>
      <c r="I12" s="288"/>
      <c r="J12" s="11"/>
      <c r="K12" s="11"/>
      <c r="L12" s="288"/>
      <c r="M12" s="11"/>
      <c r="N12" s="348"/>
      <c r="O12" s="348"/>
      <c r="P12" s="11"/>
      <c r="Q12" s="13" t="s">
        <v>264</v>
      </c>
      <c r="R12" s="93" t="s">
        <v>642</v>
      </c>
    </row>
    <row r="13" spans="1:22">
      <c r="A13" s="13">
        <v>45</v>
      </c>
      <c r="B13" s="13">
        <v>67</v>
      </c>
      <c r="C13" s="13">
        <v>5306</v>
      </c>
      <c r="D13" s="13" t="s">
        <v>390</v>
      </c>
      <c r="E13" s="13" t="s">
        <v>468</v>
      </c>
      <c r="F13" s="36" t="s">
        <v>469</v>
      </c>
      <c r="G13" s="36" t="s">
        <v>470</v>
      </c>
      <c r="H13" s="420">
        <v>30000000</v>
      </c>
      <c r="I13" s="288">
        <f>H13</f>
        <v>30000000</v>
      </c>
      <c r="J13" s="11">
        <v>44211</v>
      </c>
      <c r="K13" s="11">
        <f>J13+35</f>
        <v>44246</v>
      </c>
      <c r="L13" s="288">
        <v>30000000</v>
      </c>
      <c r="M13" s="11">
        <f>J13+180</f>
        <v>44391</v>
      </c>
      <c r="N13" s="288">
        <v>0</v>
      </c>
      <c r="O13" s="288">
        <f>L13-N13</f>
        <v>30000000</v>
      </c>
      <c r="P13" s="11">
        <v>44357</v>
      </c>
      <c r="Q13" s="13" t="s">
        <v>264</v>
      </c>
      <c r="R13" s="440" t="s">
        <v>641</v>
      </c>
    </row>
    <row r="14" spans="1:22">
      <c r="A14" s="13">
        <v>46</v>
      </c>
      <c r="B14" s="13">
        <v>68</v>
      </c>
      <c r="C14" s="13" t="s">
        <v>459</v>
      </c>
      <c r="D14" s="13" t="s">
        <v>390</v>
      </c>
      <c r="E14" s="13" t="s">
        <v>266</v>
      </c>
      <c r="F14" s="36" t="s">
        <v>471</v>
      </c>
      <c r="G14" s="36" t="s">
        <v>78</v>
      </c>
      <c r="H14" s="420">
        <v>0</v>
      </c>
      <c r="I14" s="288"/>
      <c r="J14" s="11"/>
      <c r="K14" s="11"/>
      <c r="L14" s="288"/>
      <c r="N14" s="288"/>
      <c r="O14" s="288"/>
      <c r="P14" s="11"/>
      <c r="Q14" s="13" t="s">
        <v>264</v>
      </c>
      <c r="R14" s="93"/>
    </row>
    <row r="15" spans="1:22">
      <c r="A15" s="13">
        <v>47</v>
      </c>
      <c r="B15" s="13">
        <v>69</v>
      </c>
      <c r="C15" s="13" t="s">
        <v>460</v>
      </c>
      <c r="D15" s="13" t="s">
        <v>390</v>
      </c>
      <c r="E15" s="13" t="s">
        <v>266</v>
      </c>
      <c r="F15" s="36" t="s">
        <v>472</v>
      </c>
      <c r="G15" s="36" t="s">
        <v>78</v>
      </c>
      <c r="H15" s="420">
        <v>0</v>
      </c>
      <c r="I15" s="288"/>
      <c r="J15" s="11"/>
      <c r="K15" s="11"/>
      <c r="L15" s="288"/>
      <c r="N15" s="288"/>
      <c r="O15" s="288"/>
      <c r="P15" s="11"/>
      <c r="Q15" s="13" t="s">
        <v>264</v>
      </c>
      <c r="R15" s="93" t="s">
        <v>646</v>
      </c>
    </row>
    <row r="16" spans="1:22" s="441" customFormat="1">
      <c r="A16" s="441">
        <v>59</v>
      </c>
      <c r="B16" s="441">
        <v>80</v>
      </c>
      <c r="C16" s="441">
        <v>5318</v>
      </c>
      <c r="D16" s="441" t="s">
        <v>391</v>
      </c>
      <c r="E16" s="441" t="s">
        <v>266</v>
      </c>
      <c r="F16" s="442" t="s">
        <v>473</v>
      </c>
      <c r="G16" s="442" t="s">
        <v>78</v>
      </c>
      <c r="H16" s="509">
        <v>50000000</v>
      </c>
      <c r="I16" s="386">
        <f>H16</f>
        <v>50000000</v>
      </c>
      <c r="J16" s="443">
        <v>44223</v>
      </c>
      <c r="K16" s="443">
        <f>J16+35</f>
        <v>44258</v>
      </c>
      <c r="L16" s="386">
        <v>50000000</v>
      </c>
      <c r="M16" s="443">
        <f>J16+180</f>
        <v>44403</v>
      </c>
      <c r="N16" s="386">
        <v>49900000</v>
      </c>
      <c r="O16" s="386">
        <f>L16-N16</f>
        <v>100000</v>
      </c>
      <c r="P16" s="443">
        <v>44399</v>
      </c>
      <c r="Q16" s="441" t="s">
        <v>264</v>
      </c>
      <c r="R16" s="510" t="s">
        <v>659</v>
      </c>
      <c r="S16" s="511"/>
    </row>
    <row r="17" spans="1:19" s="497" customFormat="1">
      <c r="A17" s="497">
        <v>61</v>
      </c>
      <c r="B17" s="497">
        <v>82</v>
      </c>
      <c r="C17" s="497" t="s">
        <v>461</v>
      </c>
      <c r="D17" s="497" t="s">
        <v>43</v>
      </c>
      <c r="E17" s="497" t="s">
        <v>266</v>
      </c>
      <c r="F17" s="498" t="s">
        <v>474</v>
      </c>
      <c r="G17" s="498" t="s">
        <v>78</v>
      </c>
      <c r="H17" s="503">
        <v>0</v>
      </c>
      <c r="I17" s="499"/>
      <c r="J17" s="500"/>
      <c r="K17" s="500"/>
      <c r="L17" s="499"/>
      <c r="M17" s="500"/>
      <c r="N17" s="499"/>
      <c r="O17" s="499"/>
      <c r="P17" s="500"/>
      <c r="Q17" s="497" t="s">
        <v>264</v>
      </c>
      <c r="R17" s="504"/>
    </row>
    <row r="18" spans="1:19" s="497" customFormat="1">
      <c r="A18" s="497">
        <v>72</v>
      </c>
      <c r="B18" s="497">
        <v>93</v>
      </c>
      <c r="C18" s="497" t="s">
        <v>462</v>
      </c>
      <c r="D18" s="497" t="s">
        <v>43</v>
      </c>
      <c r="E18" s="497" t="s">
        <v>266</v>
      </c>
      <c r="F18" s="498" t="s">
        <v>475</v>
      </c>
      <c r="G18" s="498" t="s">
        <v>78</v>
      </c>
      <c r="H18" s="503">
        <v>0</v>
      </c>
      <c r="I18" s="499"/>
      <c r="J18" s="500"/>
      <c r="K18" s="500"/>
      <c r="L18" s="499"/>
      <c r="M18" s="500"/>
      <c r="N18" s="499"/>
      <c r="O18" s="499"/>
      <c r="P18" s="500"/>
      <c r="Q18" s="497" t="s">
        <v>264</v>
      </c>
      <c r="R18" s="504"/>
    </row>
    <row r="19" spans="1:19" s="497" customFormat="1">
      <c r="A19" s="497">
        <v>82</v>
      </c>
      <c r="B19" s="497">
        <v>102</v>
      </c>
      <c r="C19" s="497" t="s">
        <v>463</v>
      </c>
      <c r="D19" s="497" t="s">
        <v>43</v>
      </c>
      <c r="E19" s="497" t="s">
        <v>266</v>
      </c>
      <c r="F19" s="498" t="s">
        <v>476</v>
      </c>
      <c r="G19" s="498" t="s">
        <v>78</v>
      </c>
      <c r="H19" s="503">
        <v>0</v>
      </c>
      <c r="I19" s="499"/>
      <c r="J19" s="500"/>
      <c r="K19" s="500"/>
      <c r="L19" s="499"/>
      <c r="M19" s="500"/>
      <c r="N19" s="499"/>
      <c r="O19" s="499"/>
      <c r="P19" s="500"/>
      <c r="Q19" s="497" t="s">
        <v>264</v>
      </c>
      <c r="R19" s="504"/>
    </row>
    <row r="20" spans="1:19" s="497" customFormat="1">
      <c r="A20" s="497">
        <v>91</v>
      </c>
      <c r="B20" s="497">
        <v>107</v>
      </c>
      <c r="C20" s="497" t="s">
        <v>477</v>
      </c>
      <c r="D20" s="497" t="s">
        <v>43</v>
      </c>
      <c r="E20" s="497" t="s">
        <v>266</v>
      </c>
      <c r="F20" s="498" t="s">
        <v>480</v>
      </c>
      <c r="G20" s="498" t="s">
        <v>78</v>
      </c>
      <c r="H20" s="503">
        <v>0</v>
      </c>
      <c r="I20" s="499"/>
      <c r="J20" s="500"/>
      <c r="K20" s="500"/>
      <c r="L20" s="499"/>
      <c r="M20" s="500"/>
      <c r="N20" s="499"/>
      <c r="O20" s="499"/>
      <c r="P20" s="500"/>
      <c r="Q20" s="497" t="s">
        <v>272</v>
      </c>
      <c r="R20" s="500"/>
    </row>
    <row r="21" spans="1:19" s="497" customFormat="1">
      <c r="A21" s="497">
        <v>106</v>
      </c>
      <c r="B21" s="497">
        <v>114</v>
      </c>
      <c r="C21" s="497" t="s">
        <v>478</v>
      </c>
      <c r="D21" s="497" t="s">
        <v>43</v>
      </c>
      <c r="E21" s="497" t="s">
        <v>266</v>
      </c>
      <c r="F21" s="498" t="s">
        <v>481</v>
      </c>
      <c r="G21" s="498" t="s">
        <v>78</v>
      </c>
      <c r="H21" s="503">
        <v>0</v>
      </c>
      <c r="I21" s="499"/>
      <c r="J21" s="500"/>
      <c r="K21" s="500"/>
      <c r="L21" s="499"/>
      <c r="M21" s="500"/>
      <c r="N21" s="499"/>
      <c r="O21" s="499"/>
      <c r="P21" s="500"/>
      <c r="Q21" s="497" t="s">
        <v>272</v>
      </c>
      <c r="R21" s="500"/>
    </row>
    <row r="22" spans="1:19" s="497" customFormat="1">
      <c r="A22" s="497">
        <v>117</v>
      </c>
      <c r="B22" s="497">
        <v>119</v>
      </c>
      <c r="C22" s="497" t="s">
        <v>479</v>
      </c>
      <c r="D22" s="497" t="s">
        <v>43</v>
      </c>
      <c r="E22" s="497" t="s">
        <v>266</v>
      </c>
      <c r="F22" s="498" t="s">
        <v>482</v>
      </c>
      <c r="G22" s="498" t="s">
        <v>78</v>
      </c>
      <c r="H22" s="503">
        <v>0</v>
      </c>
      <c r="I22" s="499"/>
      <c r="J22" s="500"/>
      <c r="K22" s="500"/>
      <c r="L22" s="499"/>
      <c r="M22" s="500"/>
      <c r="N22" s="499"/>
      <c r="O22" s="499"/>
      <c r="P22" s="500"/>
      <c r="Q22" s="497" t="s">
        <v>272</v>
      </c>
      <c r="R22" s="500"/>
    </row>
    <row r="23" spans="1:19" s="497" customFormat="1">
      <c r="A23" s="497" t="s">
        <v>146</v>
      </c>
      <c r="B23" s="497" t="s">
        <v>146</v>
      </c>
      <c r="C23" s="497" t="s">
        <v>483</v>
      </c>
      <c r="D23" s="497" t="s">
        <v>43</v>
      </c>
      <c r="E23" s="497" t="s">
        <v>266</v>
      </c>
      <c r="F23" s="498" t="s">
        <v>330</v>
      </c>
      <c r="G23" s="498" t="s">
        <v>78</v>
      </c>
      <c r="H23" s="503">
        <v>0</v>
      </c>
      <c r="I23" s="499"/>
      <c r="J23" s="500"/>
      <c r="K23" s="500"/>
      <c r="L23" s="499"/>
      <c r="M23" s="500"/>
      <c r="N23" s="499"/>
      <c r="O23" s="499"/>
      <c r="P23" s="500"/>
      <c r="Q23" s="497" t="s">
        <v>272</v>
      </c>
      <c r="R23" s="500"/>
    </row>
    <row r="24" spans="1:19">
      <c r="A24" s="13" t="s">
        <v>146</v>
      </c>
      <c r="B24" s="13" t="s">
        <v>146</v>
      </c>
      <c r="C24" s="13">
        <v>5317</v>
      </c>
      <c r="D24" s="13" t="s">
        <v>391</v>
      </c>
      <c r="E24" s="13" t="s">
        <v>97</v>
      </c>
      <c r="F24" s="36" t="s">
        <v>645</v>
      </c>
      <c r="G24" s="36" t="s">
        <v>95</v>
      </c>
      <c r="H24" s="420">
        <v>25000000</v>
      </c>
      <c r="I24" s="288">
        <f>H24</f>
        <v>25000000</v>
      </c>
      <c r="J24" s="11">
        <v>44223</v>
      </c>
      <c r="K24" s="11">
        <f>J24+35</f>
        <v>44258</v>
      </c>
      <c r="L24" s="288">
        <v>25000000</v>
      </c>
      <c r="M24" s="11">
        <f>J24+180</f>
        <v>44403</v>
      </c>
      <c r="N24" s="288">
        <v>0</v>
      </c>
      <c r="O24" s="288">
        <f>L24-N24</f>
        <v>25000000</v>
      </c>
      <c r="P24" s="11">
        <v>44400</v>
      </c>
      <c r="Q24" s="13" t="s">
        <v>264</v>
      </c>
      <c r="R24" s="440" t="s">
        <v>657</v>
      </c>
      <c r="S24" s="466" t="s">
        <v>658</v>
      </c>
    </row>
    <row r="25" spans="1:19" s="497" customFormat="1">
      <c r="A25" s="497" t="s">
        <v>146</v>
      </c>
      <c r="B25" s="497" t="s">
        <v>146</v>
      </c>
      <c r="C25" s="497" t="s">
        <v>653</v>
      </c>
      <c r="D25" s="497" t="s">
        <v>43</v>
      </c>
      <c r="E25" s="497" t="s">
        <v>266</v>
      </c>
      <c r="F25" s="498" t="s">
        <v>654</v>
      </c>
      <c r="G25" s="498" t="s">
        <v>78</v>
      </c>
      <c r="H25" s="503">
        <v>0</v>
      </c>
      <c r="I25" s="499"/>
      <c r="J25" s="500"/>
      <c r="K25" s="500"/>
      <c r="L25" s="499"/>
      <c r="M25" s="500"/>
      <c r="N25" s="499"/>
      <c r="O25" s="499"/>
      <c r="P25" s="500"/>
      <c r="Q25" s="497" t="s">
        <v>272</v>
      </c>
      <c r="R25" s="504"/>
    </row>
    <row r="26" spans="1:19" s="497" customFormat="1">
      <c r="A26" s="497" t="s">
        <v>146</v>
      </c>
      <c r="B26" s="497" t="s">
        <v>146</v>
      </c>
      <c r="C26" s="497" t="s">
        <v>655</v>
      </c>
      <c r="D26" s="497" t="s">
        <v>43</v>
      </c>
      <c r="E26" s="497" t="s">
        <v>266</v>
      </c>
      <c r="F26" s="498" t="s">
        <v>467</v>
      </c>
      <c r="G26" s="498" t="s">
        <v>78</v>
      </c>
      <c r="H26" s="503">
        <v>0</v>
      </c>
      <c r="I26" s="499"/>
      <c r="J26" s="500"/>
      <c r="K26" s="500"/>
      <c r="L26" s="499"/>
      <c r="M26" s="500"/>
      <c r="N26" s="499"/>
      <c r="O26" s="499"/>
      <c r="P26" s="500"/>
      <c r="Q26" s="497" t="s">
        <v>272</v>
      </c>
      <c r="R26" s="504"/>
    </row>
    <row r="27" spans="1:19">
      <c r="F27" s="36"/>
      <c r="G27" s="36"/>
      <c r="H27" s="420"/>
      <c r="I27" s="288"/>
      <c r="J27" s="11"/>
      <c r="K27" s="11"/>
      <c r="L27" s="288"/>
      <c r="N27" s="288"/>
      <c r="O27" s="288"/>
      <c r="P27" s="11"/>
      <c r="R27" s="11"/>
    </row>
    <row r="28" spans="1:19">
      <c r="A28" s="43"/>
      <c r="B28" s="43"/>
      <c r="C28" s="43"/>
      <c r="D28" s="43"/>
      <c r="E28" s="1"/>
      <c r="F28" s="13" t="s">
        <v>19</v>
      </c>
      <c r="H28" s="262">
        <f>SUM(H7:H27)</f>
        <v>200000000</v>
      </c>
      <c r="I28" s="262">
        <f>SUM(I7:I27)</f>
        <v>200000000</v>
      </c>
      <c r="J28" s="10"/>
      <c r="K28" s="10"/>
      <c r="L28" s="262">
        <f>SUM(L7:L27)</f>
        <v>200000000</v>
      </c>
      <c r="M28" s="10"/>
      <c r="N28" s="262">
        <f>SUM(N7:N27)</f>
        <v>133435000</v>
      </c>
      <c r="O28" s="262">
        <f>SUM(O7:O27)</f>
        <v>66565000</v>
      </c>
    </row>
    <row r="29" spans="1:19" s="1" customFormat="1">
      <c r="A29" s="5"/>
      <c r="B29" s="5"/>
      <c r="C29" s="5"/>
      <c r="D29" s="88"/>
      <c r="F29" s="13"/>
      <c r="H29" s="76"/>
      <c r="J29" s="11"/>
      <c r="K29" s="11"/>
      <c r="L29" s="9"/>
      <c r="M29" s="6"/>
      <c r="Q29" s="13"/>
    </row>
    <row r="30" spans="1:19" s="1" customFormat="1">
      <c r="A30" s="5"/>
      <c r="B30" s="5"/>
      <c r="C30" s="5"/>
      <c r="E30" s="5"/>
      <c r="F30" s="13" t="s">
        <v>43</v>
      </c>
      <c r="G30" s="5"/>
      <c r="H30" s="34">
        <f>H28-I28</f>
        <v>0</v>
      </c>
      <c r="I30" s="9"/>
      <c r="L30" s="9"/>
      <c r="Q30" s="13"/>
    </row>
    <row r="31" spans="1:19" s="1" customFormat="1">
      <c r="A31" s="5"/>
      <c r="B31" s="5"/>
      <c r="C31" s="5"/>
      <c r="E31" s="5"/>
      <c r="G31" s="5"/>
      <c r="H31" s="67"/>
      <c r="I31" s="9"/>
      <c r="K31" s="138"/>
      <c r="L31" s="9"/>
      <c r="M31" s="3"/>
      <c r="N31" s="8"/>
      <c r="Q31" s="13"/>
    </row>
    <row r="32" spans="1:19" s="1" customFormat="1">
      <c r="A32" s="5"/>
      <c r="B32" s="5"/>
      <c r="C32" s="5"/>
      <c r="E32" s="133"/>
      <c r="F32" s="58" t="s">
        <v>10</v>
      </c>
      <c r="G32" s="5"/>
      <c r="H32" s="77">
        <f>E1-I28+O28+G37</f>
        <v>72876236</v>
      </c>
      <c r="I32" s="291"/>
      <c r="J32" s="138"/>
      <c r="L32" s="167"/>
      <c r="M32" s="3"/>
      <c r="N32" s="2"/>
      <c r="Q32" s="13"/>
    </row>
    <row r="33" spans="1:14">
      <c r="D33" s="43"/>
      <c r="F33" s="58"/>
      <c r="H33" s="27"/>
      <c r="I33" s="97"/>
      <c r="L33" s="399"/>
      <c r="N33" s="362"/>
    </row>
    <row r="34" spans="1:14">
      <c r="D34" s="43"/>
      <c r="F34" s="58"/>
      <c r="H34" s="27"/>
      <c r="I34" s="526"/>
      <c r="N34" s="192"/>
    </row>
    <row r="35" spans="1:14">
      <c r="D35" s="43"/>
      <c r="F35" s="58"/>
      <c r="H35" s="27"/>
      <c r="I35" s="526"/>
      <c r="L35" s="400"/>
      <c r="N35" s="12"/>
    </row>
    <row r="36" spans="1:14">
      <c r="D36" s="43"/>
      <c r="G36" s="288"/>
      <c r="H36" s="287"/>
      <c r="N36" s="12"/>
    </row>
    <row r="37" spans="1:14">
      <c r="E37" s="43"/>
      <c r="F37" s="43"/>
      <c r="G37" s="297">
        <f>SUM(G36:G36)</f>
        <v>0</v>
      </c>
      <c r="H37" s="166"/>
      <c r="I37" s="51"/>
      <c r="J37" s="11"/>
    </row>
    <row r="38" spans="1:14">
      <c r="A38" s="94"/>
      <c r="B38" s="94"/>
      <c r="C38" s="94"/>
      <c r="D38" s="94"/>
    </row>
    <row r="39" spans="1:14">
      <c r="E39" s="94"/>
      <c r="F39" s="94"/>
      <c r="G39" s="94"/>
      <c r="H39" s="94"/>
      <c r="I39" s="118"/>
    </row>
    <row r="40" spans="1:14">
      <c r="A40" s="93"/>
      <c r="B40" s="93"/>
      <c r="C40" s="93"/>
      <c r="D40" s="93"/>
    </row>
    <row r="41" spans="1:14">
      <c r="E41" s="93"/>
      <c r="F41" s="132"/>
      <c r="G41" s="93"/>
      <c r="H41" s="132"/>
    </row>
    <row r="42" spans="1:14">
      <c r="A42" s="93"/>
      <c r="B42" s="93"/>
      <c r="C42" s="93"/>
      <c r="D42" s="93"/>
      <c r="N42" s="12"/>
    </row>
    <row r="43" spans="1:14">
      <c r="E43" s="93"/>
      <c r="F43" s="93"/>
      <c r="G43" s="93"/>
      <c r="H43" s="93"/>
    </row>
  </sheetData>
  <phoneticPr fontId="0" type="noConversion"/>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tabColor theme="0" tint="-0.499984740745262"/>
  </sheetPr>
  <dimension ref="A1:V19"/>
  <sheetViews>
    <sheetView zoomScaleNormal="100" workbookViewId="0">
      <selection activeCell="H13" sqref="H13"/>
    </sheetView>
  </sheetViews>
  <sheetFormatPr defaultColWidth="10.875" defaultRowHeight="12"/>
  <cols>
    <col min="1" max="1" width="9.25" style="13" customWidth="1"/>
    <col min="2" max="2" width="7.125" style="13" bestFit="1" customWidth="1"/>
    <col min="3" max="3" width="10.125" style="13" bestFit="1" customWidth="1"/>
    <col min="4" max="4" width="12.25" style="13" bestFit="1" customWidth="1"/>
    <col min="5" max="5" width="25.625" style="13" customWidth="1"/>
    <col min="6" max="6" width="27.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9" style="13" customWidth="1"/>
    <col min="19" max="16384" width="10.875" style="13"/>
  </cols>
  <sheetData>
    <row r="1" spans="1:22" s="17" customFormat="1" ht="11.4">
      <c r="A1" s="16" t="s">
        <v>12</v>
      </c>
      <c r="B1" s="290"/>
      <c r="C1" s="290"/>
      <c r="E1" s="378">
        <f>ROUND(Totals!$H$8*Totals!$P$11, 0)</f>
        <v>29492488</v>
      </c>
      <c r="F1" s="18"/>
      <c r="G1" s="18"/>
      <c r="H1" s="330"/>
      <c r="I1" s="331"/>
      <c r="J1" s="283"/>
      <c r="K1" s="283"/>
      <c r="L1" s="331"/>
      <c r="M1" s="283"/>
      <c r="N1" s="330"/>
      <c r="O1" s="330"/>
      <c r="P1" s="283"/>
      <c r="R1" s="284"/>
      <c r="S1" s="5"/>
      <c r="T1" s="5"/>
      <c r="U1" s="5"/>
      <c r="V1" s="5"/>
    </row>
    <row r="2" spans="1:22" s="5" customFormat="1" ht="11.4">
      <c r="A2" s="25" t="s">
        <v>71</v>
      </c>
      <c r="B2" s="48"/>
      <c r="C2" s="48"/>
      <c r="E2" s="26"/>
      <c r="F2" s="26"/>
      <c r="G2" s="26"/>
      <c r="H2" s="46"/>
      <c r="I2" s="47"/>
      <c r="J2" s="6"/>
      <c r="K2" s="6"/>
      <c r="L2" s="47"/>
      <c r="M2" s="6"/>
      <c r="N2" s="46"/>
      <c r="O2" s="46"/>
      <c r="P2" s="6"/>
      <c r="R2" s="285"/>
    </row>
    <row r="3" spans="1:22">
      <c r="A3" s="136"/>
      <c r="B3" s="43"/>
      <c r="C3" s="43"/>
      <c r="E3" s="36"/>
      <c r="F3" s="36"/>
      <c r="G3" s="36"/>
      <c r="H3" s="44"/>
      <c r="I3" s="86"/>
      <c r="L3" s="13"/>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97" customFormat="1">
      <c r="A7" s="497">
        <v>112</v>
      </c>
      <c r="B7" s="497">
        <v>42</v>
      </c>
      <c r="C7" s="497" t="s">
        <v>484</v>
      </c>
      <c r="D7" s="497" t="s">
        <v>43</v>
      </c>
      <c r="E7" s="497" t="s">
        <v>416</v>
      </c>
      <c r="F7" s="498" t="s">
        <v>485</v>
      </c>
      <c r="G7" s="498" t="s">
        <v>349</v>
      </c>
      <c r="H7" s="499">
        <v>0</v>
      </c>
      <c r="I7" s="505"/>
      <c r="J7" s="500"/>
      <c r="K7" s="500"/>
      <c r="L7" s="505"/>
      <c r="M7" s="500"/>
      <c r="N7" s="499"/>
      <c r="O7" s="502"/>
      <c r="P7" s="500"/>
      <c r="Q7" s="497" t="s">
        <v>242</v>
      </c>
      <c r="R7" s="506"/>
    </row>
    <row r="8" spans="1:22">
      <c r="F8" s="36"/>
      <c r="G8" s="36"/>
      <c r="H8" s="288"/>
      <c r="I8" s="288"/>
      <c r="J8" s="11"/>
      <c r="K8" s="11"/>
      <c r="L8" s="288"/>
      <c r="M8" s="11"/>
      <c r="N8" s="348"/>
      <c r="O8" s="358"/>
      <c r="P8" s="11"/>
      <c r="R8" s="43"/>
    </row>
    <row r="9" spans="1:22">
      <c r="A9" s="43"/>
      <c r="B9" s="43"/>
      <c r="C9" s="43"/>
      <c r="D9" s="43"/>
      <c r="E9" s="1"/>
      <c r="F9" s="13" t="s">
        <v>19</v>
      </c>
      <c r="H9" s="262">
        <f>SUM(H7:H8)</f>
        <v>0</v>
      </c>
      <c r="I9" s="262">
        <f>SUM(I7:I8)</f>
        <v>0</v>
      </c>
      <c r="J9" s="10"/>
      <c r="K9" s="10"/>
      <c r="L9" s="262">
        <f>SUM(L7:L8)</f>
        <v>0</v>
      </c>
      <c r="M9" s="10"/>
      <c r="N9" s="262">
        <f>SUM(N7:N8)</f>
        <v>0</v>
      </c>
      <c r="O9" s="262">
        <f>SUM(O7:O8)</f>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SUM(H9-I9)</f>
        <v>0</v>
      </c>
      <c r="I11" s="9"/>
      <c r="L11" s="83"/>
      <c r="M11" s="3"/>
      <c r="Q11" s="13"/>
    </row>
    <row r="12" spans="1:22" s="1" customFormat="1">
      <c r="A12" s="5"/>
      <c r="B12" s="5"/>
      <c r="C12" s="5"/>
      <c r="E12" s="5"/>
      <c r="G12" s="5"/>
      <c r="H12" s="67"/>
      <c r="I12" s="9"/>
      <c r="K12" s="138"/>
      <c r="L12" s="9"/>
      <c r="N12" s="76"/>
      <c r="Q12" s="13"/>
    </row>
    <row r="13" spans="1:22" s="1" customFormat="1">
      <c r="A13" s="5"/>
      <c r="B13" s="5"/>
      <c r="C13" s="5"/>
      <c r="E13" s="133"/>
      <c r="F13" s="58" t="s">
        <v>10</v>
      </c>
      <c r="G13" s="5"/>
      <c r="H13" s="77">
        <f>+E1-I9+O9+G16</f>
        <v>29492488</v>
      </c>
      <c r="I13" s="291"/>
      <c r="J13" s="138"/>
      <c r="L13" s="9"/>
      <c r="M13" s="138"/>
      <c r="Q13" s="13"/>
    </row>
    <row r="14" spans="1:22">
      <c r="A14" s="43"/>
      <c r="B14" s="43"/>
      <c r="C14" s="43"/>
      <c r="D14" s="1"/>
      <c r="E14" s="1"/>
      <c r="F14" s="1"/>
      <c r="G14" s="1"/>
      <c r="H14" s="76"/>
    </row>
    <row r="15" spans="1:22">
      <c r="H15" s="65"/>
    </row>
    <row r="16" spans="1:22">
      <c r="G16" s="298"/>
      <c r="H16" s="65"/>
    </row>
    <row r="17" spans="8:13">
      <c r="H17" s="65"/>
    </row>
    <row r="18" spans="8:13">
      <c r="M18" s="11"/>
    </row>
    <row r="19" spans="8:13">
      <c r="M19" s="11"/>
    </row>
  </sheetData>
  <phoneticPr fontId="3" type="noConversion"/>
  <pageMargins left="0.75" right="0.75" top="1" bottom="1" header="0.5" footer="0.5"/>
  <pageSetup scale="5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tint="-0.499984740745262"/>
  </sheetPr>
  <dimension ref="A1:V18"/>
  <sheetViews>
    <sheetView zoomScaleNormal="100" workbookViewId="0">
      <selection activeCell="H14" sqref="H14"/>
    </sheetView>
  </sheetViews>
  <sheetFormatPr defaultColWidth="10.875" defaultRowHeight="12"/>
  <cols>
    <col min="1" max="1" width="9.625" style="13" customWidth="1"/>
    <col min="2" max="2" width="7.125" style="13" bestFit="1" customWidth="1"/>
    <col min="3" max="3" width="10.125" style="13" bestFit="1" customWidth="1"/>
    <col min="4" max="4" width="11" style="13" bestFit="1" customWidth="1"/>
    <col min="5" max="5" width="23.625" style="13" customWidth="1"/>
    <col min="6" max="6" width="3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41.625" style="13" bestFit="1" customWidth="1"/>
    <col min="19" max="16384" width="10.875" style="13"/>
  </cols>
  <sheetData>
    <row r="1" spans="1:22" s="17" customFormat="1" ht="11.4">
      <c r="A1" s="16" t="s">
        <v>12</v>
      </c>
      <c r="B1" s="290"/>
      <c r="C1" s="290"/>
      <c r="E1" s="378">
        <f>ROUND(Totals!$H$8*Totals!$P$12, 0)</f>
        <v>19712258</v>
      </c>
      <c r="F1" s="18"/>
      <c r="G1" s="18"/>
      <c r="H1" s="330"/>
      <c r="I1" s="331"/>
      <c r="J1" s="283"/>
      <c r="K1" s="283"/>
      <c r="L1" s="331"/>
      <c r="M1" s="283"/>
      <c r="N1" s="330"/>
      <c r="O1" s="330"/>
      <c r="P1" s="283"/>
      <c r="R1" s="284"/>
      <c r="S1" s="5"/>
      <c r="T1" s="5"/>
      <c r="U1" s="5"/>
      <c r="V1" s="5"/>
    </row>
    <row r="2" spans="1:22" s="5" customFormat="1" ht="11.4">
      <c r="A2" s="25" t="s">
        <v>66</v>
      </c>
      <c r="B2" s="48"/>
      <c r="C2" s="48"/>
      <c r="E2" s="26"/>
      <c r="F2" s="26"/>
      <c r="G2" s="26"/>
      <c r="H2" s="46"/>
      <c r="I2" s="47"/>
      <c r="J2" s="6"/>
      <c r="K2" s="6"/>
      <c r="L2" s="47"/>
      <c r="M2" s="6"/>
      <c r="N2" s="46"/>
      <c r="O2" s="46"/>
      <c r="P2" s="6"/>
      <c r="R2" s="285"/>
    </row>
    <row r="3" spans="1:22">
      <c r="A3" s="136"/>
      <c r="B3" s="43"/>
      <c r="C3" s="43"/>
      <c r="E3" s="36"/>
      <c r="F3" s="36"/>
      <c r="G3" s="36"/>
      <c r="H3" s="44"/>
      <c r="I3" s="86"/>
      <c r="L3" s="13"/>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41" customFormat="1">
      <c r="A7" s="441">
        <v>6</v>
      </c>
      <c r="B7" s="441">
        <v>6</v>
      </c>
      <c r="C7" s="441">
        <v>5275</v>
      </c>
      <c r="D7" s="441" t="s">
        <v>391</v>
      </c>
      <c r="E7" s="441" t="s">
        <v>487</v>
      </c>
      <c r="F7" s="442" t="s">
        <v>488</v>
      </c>
      <c r="G7" s="442" t="s">
        <v>489</v>
      </c>
      <c r="H7" s="386">
        <v>10000000</v>
      </c>
      <c r="I7" s="386">
        <v>10000000</v>
      </c>
      <c r="J7" s="443">
        <v>44205</v>
      </c>
      <c r="K7" s="443">
        <f>J7+35</f>
        <v>44240</v>
      </c>
      <c r="L7" s="386">
        <v>10000000</v>
      </c>
      <c r="M7" s="443">
        <f>J7+180</f>
        <v>44385</v>
      </c>
      <c r="N7" s="386">
        <v>10000000</v>
      </c>
      <c r="O7" s="386">
        <f>L7-N7</f>
        <v>0</v>
      </c>
      <c r="P7" s="443">
        <v>44365</v>
      </c>
      <c r="Q7" s="441" t="s">
        <v>209</v>
      </c>
      <c r="R7" s="524" t="s">
        <v>630</v>
      </c>
    </row>
    <row r="8" spans="1:22" s="497" customFormat="1">
      <c r="A8" s="497">
        <v>37</v>
      </c>
      <c r="B8" s="497">
        <v>8</v>
      </c>
      <c r="C8" s="497" t="s">
        <v>486</v>
      </c>
      <c r="D8" s="497" t="s">
        <v>43</v>
      </c>
      <c r="E8" s="497" t="s">
        <v>487</v>
      </c>
      <c r="F8" s="498" t="s">
        <v>490</v>
      </c>
      <c r="G8" s="498" t="s">
        <v>489</v>
      </c>
      <c r="H8" s="499">
        <v>0</v>
      </c>
      <c r="I8" s="499"/>
      <c r="J8" s="500"/>
      <c r="K8" s="500"/>
      <c r="L8" s="501"/>
      <c r="M8" s="500"/>
      <c r="N8" s="501"/>
      <c r="O8" s="502"/>
      <c r="P8" s="500"/>
      <c r="Q8" s="497" t="s">
        <v>241</v>
      </c>
    </row>
    <row r="9" spans="1:22">
      <c r="F9" s="36"/>
      <c r="G9" s="36"/>
      <c r="H9" s="27"/>
      <c r="I9" s="27"/>
      <c r="J9" s="11"/>
      <c r="K9" s="11"/>
      <c r="L9" s="45"/>
      <c r="M9" s="11"/>
      <c r="N9" s="45"/>
      <c r="O9" s="53"/>
      <c r="P9" s="11"/>
    </row>
    <row r="10" spans="1:22">
      <c r="A10" s="43"/>
      <c r="B10" s="43"/>
      <c r="C10" s="43"/>
      <c r="D10" s="43"/>
      <c r="E10" s="1"/>
      <c r="F10" s="13" t="s">
        <v>19</v>
      </c>
      <c r="H10" s="262">
        <f>SUM(H7:H9)</f>
        <v>10000000</v>
      </c>
      <c r="I10" s="262">
        <f>SUM(I7:I9)</f>
        <v>10000000</v>
      </c>
      <c r="J10" s="10"/>
      <c r="K10" s="10"/>
      <c r="L10" s="262">
        <f>SUM(L7:L9)</f>
        <v>10000000</v>
      </c>
      <c r="M10" s="10"/>
      <c r="N10" s="262">
        <f>SUM(N7:N9)</f>
        <v>10000000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10</v>
      </c>
      <c r="G14" s="5"/>
      <c r="H14" s="77">
        <f>+E1-I10+O10+G16</f>
        <v>9712258</v>
      </c>
      <c r="I14" s="291"/>
      <c r="J14" s="138"/>
      <c r="L14" s="9"/>
      <c r="M14" s="138"/>
      <c r="Q14" s="13"/>
    </row>
    <row r="15" spans="1:22">
      <c r="A15" s="43"/>
      <c r="B15" s="43"/>
      <c r="C15" s="43"/>
      <c r="D15" s="1"/>
      <c r="E15" s="1"/>
      <c r="F15" s="1"/>
      <c r="G15" s="1"/>
      <c r="H15" s="76"/>
    </row>
    <row r="16" spans="1:22">
      <c r="G16" s="298"/>
      <c r="H16" s="65"/>
    </row>
    <row r="17" spans="8:8">
      <c r="H17" s="65"/>
    </row>
    <row r="18" spans="8:8">
      <c r="H18" s="65"/>
    </row>
  </sheetData>
  <phoneticPr fontId="3" type="noConversion"/>
  <pageMargins left="0.75" right="0.75" top="1" bottom="1" header="0.5" footer="0.5"/>
  <pageSetup scale="5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tint="-0.499984740745262"/>
  </sheetPr>
  <dimension ref="A1:V45"/>
  <sheetViews>
    <sheetView zoomScaleNormal="100" workbookViewId="0">
      <selection activeCell="H29" sqref="H29"/>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5" style="13" customWidth="1"/>
    <col min="6" max="6" width="26.75" style="13" bestFit="1" customWidth="1"/>
    <col min="7" max="7" width="12.375" style="13" customWidth="1"/>
    <col min="8" max="8" width="14.375" style="12" customWidth="1"/>
    <col min="9" max="9" width="12.75" style="35" bestFit="1" customWidth="1"/>
    <col min="10" max="10" width="15.25" style="13" bestFit="1" customWidth="1"/>
    <col min="11" max="11" width="10.875" style="13" bestFit="1" customWidth="1"/>
    <col min="12" max="12" width="14.25" style="34" customWidth="1"/>
    <col min="13" max="13" width="10.875" style="13" bestFit="1" customWidth="1"/>
    <col min="14" max="14" width="15.25" style="57" customWidth="1"/>
    <col min="15" max="15" width="14.75" style="12" bestFit="1" customWidth="1"/>
    <col min="16" max="16" width="10.625" style="13" bestFit="1" customWidth="1"/>
    <col min="17" max="17" width="10.25" style="13" bestFit="1" customWidth="1"/>
    <col min="18" max="18" width="43.75" style="13" bestFit="1" customWidth="1"/>
    <col min="19" max="19" width="28.375" style="13" bestFit="1" customWidth="1"/>
    <col min="20" max="16384" width="10.875" style="13"/>
  </cols>
  <sheetData>
    <row r="1" spans="1:22" s="17" customFormat="1" ht="11.4">
      <c r="A1" s="16" t="s">
        <v>12</v>
      </c>
      <c r="B1" s="290"/>
      <c r="C1" s="290"/>
      <c r="E1" s="378">
        <f>ROUND(Totals!$H$8*Totals!$P$13, 0)</f>
        <v>187137950</v>
      </c>
      <c r="F1" s="18"/>
      <c r="G1" s="18"/>
      <c r="H1" s="330"/>
      <c r="I1" s="331"/>
      <c r="J1" s="283"/>
      <c r="K1" s="283"/>
      <c r="L1" s="331"/>
      <c r="M1" s="283"/>
      <c r="N1" s="330"/>
      <c r="O1" s="330"/>
      <c r="P1" s="283"/>
      <c r="R1" s="284"/>
      <c r="S1" s="5"/>
      <c r="T1" s="5"/>
      <c r="U1" s="5"/>
      <c r="V1" s="5"/>
    </row>
    <row r="2" spans="1:22" s="5" customFormat="1" ht="11.4">
      <c r="A2" s="25" t="s">
        <v>39</v>
      </c>
      <c r="B2" s="48"/>
      <c r="C2" s="48"/>
      <c r="E2" s="26"/>
      <c r="F2" s="26"/>
      <c r="G2" s="26"/>
      <c r="H2" s="46"/>
      <c r="I2" s="47"/>
      <c r="J2" s="6"/>
      <c r="K2" s="6"/>
      <c r="L2" s="47"/>
      <c r="M2" s="6"/>
      <c r="N2" s="46"/>
      <c r="O2" s="46"/>
      <c r="P2" s="6"/>
      <c r="R2" s="285"/>
    </row>
    <row r="3" spans="1:22">
      <c r="A3" s="137"/>
      <c r="H3" s="44"/>
      <c r="I3" s="45"/>
      <c r="J3" s="11"/>
      <c r="K3" s="11"/>
      <c r="L3" s="27"/>
      <c r="M3" s="11"/>
      <c r="N3" s="53"/>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A7" s="13">
        <v>1</v>
      </c>
      <c r="B7" s="13">
        <v>1</v>
      </c>
      <c r="C7" s="13">
        <v>5273</v>
      </c>
      <c r="D7" s="13" t="s">
        <v>391</v>
      </c>
      <c r="E7" s="13" t="s">
        <v>218</v>
      </c>
      <c r="F7" s="36" t="s">
        <v>491</v>
      </c>
      <c r="G7" s="36" t="s">
        <v>80</v>
      </c>
      <c r="H7" s="288">
        <v>6500000</v>
      </c>
      <c r="I7" s="288">
        <f>H7</f>
        <v>6500000</v>
      </c>
      <c r="J7" s="11">
        <v>44203</v>
      </c>
      <c r="K7" s="11">
        <f t="shared" ref="K7:K12" si="0">J7+35</f>
        <v>44238</v>
      </c>
      <c r="L7" s="288">
        <v>6500000</v>
      </c>
      <c r="M7" s="11">
        <f>J7+180</f>
        <v>44383</v>
      </c>
      <c r="N7" s="288">
        <v>6500000</v>
      </c>
      <c r="O7" s="288">
        <f>L7-N7</f>
        <v>0</v>
      </c>
      <c r="P7" s="11">
        <v>44286</v>
      </c>
      <c r="Q7" s="13">
        <v>0</v>
      </c>
      <c r="R7" s="440" t="s">
        <v>627</v>
      </c>
      <c r="S7" s="466"/>
    </row>
    <row r="8" spans="1:22">
      <c r="A8" s="13">
        <v>5</v>
      </c>
      <c r="B8" s="13">
        <v>5</v>
      </c>
      <c r="C8" s="13">
        <v>5283</v>
      </c>
      <c r="D8" s="13" t="s">
        <v>391</v>
      </c>
      <c r="E8" s="13" t="s">
        <v>268</v>
      </c>
      <c r="F8" s="36" t="s">
        <v>335</v>
      </c>
      <c r="G8" s="36" t="s">
        <v>336</v>
      </c>
      <c r="H8" s="288">
        <v>22500000</v>
      </c>
      <c r="I8" s="288">
        <f>H8</f>
        <v>22500000</v>
      </c>
      <c r="J8" s="11">
        <v>44208</v>
      </c>
      <c r="K8" s="11">
        <f t="shared" si="0"/>
        <v>44243</v>
      </c>
      <c r="L8" s="288">
        <v>22500000</v>
      </c>
      <c r="M8" s="11">
        <f t="shared" ref="M8:M12" si="1">J8+180</f>
        <v>44388</v>
      </c>
      <c r="N8" s="288">
        <v>12350000</v>
      </c>
      <c r="O8" s="288">
        <f>L8-N8</f>
        <v>10150000</v>
      </c>
      <c r="P8" s="11">
        <v>44394</v>
      </c>
      <c r="Q8" s="13" t="s">
        <v>209</v>
      </c>
      <c r="R8" s="440" t="s">
        <v>631</v>
      </c>
    </row>
    <row r="9" spans="1:22">
      <c r="A9" s="13">
        <v>8</v>
      </c>
      <c r="B9" s="13">
        <v>11</v>
      </c>
      <c r="C9" s="13">
        <v>5292</v>
      </c>
      <c r="D9" s="13" t="s">
        <v>391</v>
      </c>
      <c r="E9" s="13" t="s">
        <v>218</v>
      </c>
      <c r="F9" s="36" t="s">
        <v>492</v>
      </c>
      <c r="G9" s="36" t="s">
        <v>80</v>
      </c>
      <c r="H9" s="288">
        <v>28000000</v>
      </c>
      <c r="I9" s="288">
        <f>H9</f>
        <v>28000000</v>
      </c>
      <c r="J9" s="11">
        <v>44209</v>
      </c>
      <c r="K9" s="11">
        <f t="shared" si="0"/>
        <v>44244</v>
      </c>
      <c r="L9" s="288">
        <v>28000000</v>
      </c>
      <c r="M9" s="11">
        <f t="shared" si="1"/>
        <v>44389</v>
      </c>
      <c r="N9" s="288">
        <v>27850000</v>
      </c>
      <c r="O9" s="288">
        <f>L9-N9</f>
        <v>150000</v>
      </c>
      <c r="P9" s="11">
        <v>44383</v>
      </c>
      <c r="Q9" s="13" t="s">
        <v>209</v>
      </c>
      <c r="R9" s="440" t="s">
        <v>637</v>
      </c>
    </row>
    <row r="10" spans="1:22">
      <c r="A10" s="13">
        <v>17</v>
      </c>
      <c r="B10" s="13">
        <v>32</v>
      </c>
      <c r="C10" s="13">
        <v>5299</v>
      </c>
      <c r="D10" s="13" t="s">
        <v>390</v>
      </c>
      <c r="E10" s="13" t="s">
        <v>269</v>
      </c>
      <c r="F10" s="36" t="s">
        <v>493</v>
      </c>
      <c r="G10" s="36" t="s">
        <v>494</v>
      </c>
      <c r="H10" s="288">
        <v>50000000</v>
      </c>
      <c r="I10" s="288">
        <f>H10</f>
        <v>50000000</v>
      </c>
      <c r="J10" s="11">
        <v>44210</v>
      </c>
      <c r="K10" s="11">
        <f t="shared" si="0"/>
        <v>44245</v>
      </c>
      <c r="L10" s="288">
        <v>50000000</v>
      </c>
      <c r="M10" s="11">
        <f t="shared" si="1"/>
        <v>44390</v>
      </c>
      <c r="N10" s="288">
        <v>0</v>
      </c>
      <c r="O10" s="288">
        <f>L10-N10</f>
        <v>50000000</v>
      </c>
      <c r="P10" s="11">
        <v>44359</v>
      </c>
      <c r="Q10" s="13" t="s">
        <v>216</v>
      </c>
      <c r="R10" s="440" t="s">
        <v>639</v>
      </c>
    </row>
    <row r="11" spans="1:22">
      <c r="A11" s="13">
        <v>20</v>
      </c>
      <c r="B11" s="13">
        <v>37</v>
      </c>
      <c r="C11" s="13">
        <v>5307</v>
      </c>
      <c r="D11" s="13" t="s">
        <v>391</v>
      </c>
      <c r="E11" s="13" t="s">
        <v>268</v>
      </c>
      <c r="F11" s="36" t="s">
        <v>495</v>
      </c>
      <c r="G11" s="36" t="s">
        <v>336</v>
      </c>
      <c r="H11" s="288">
        <v>20000000</v>
      </c>
      <c r="I11" s="288">
        <v>20000000</v>
      </c>
      <c r="J11" s="11">
        <v>44211</v>
      </c>
      <c r="K11" s="11">
        <f t="shared" si="0"/>
        <v>44246</v>
      </c>
      <c r="L11" s="288">
        <v>20000000</v>
      </c>
      <c r="M11" s="11">
        <f t="shared" si="1"/>
        <v>44391</v>
      </c>
      <c r="N11" s="288">
        <v>14937404</v>
      </c>
      <c r="O11" s="288">
        <f>L11-N11</f>
        <v>5062596</v>
      </c>
      <c r="P11" s="11">
        <v>44397</v>
      </c>
      <c r="Q11" s="13" t="s">
        <v>216</v>
      </c>
      <c r="R11" s="440" t="s">
        <v>641</v>
      </c>
      <c r="S11" s="466"/>
    </row>
    <row r="12" spans="1:22">
      <c r="A12" s="13">
        <v>21</v>
      </c>
      <c r="B12" s="13">
        <v>39</v>
      </c>
      <c r="C12" s="13">
        <v>5308</v>
      </c>
      <c r="D12" s="13" t="s">
        <v>390</v>
      </c>
      <c r="E12" s="13" t="s">
        <v>269</v>
      </c>
      <c r="F12" s="36" t="s">
        <v>496</v>
      </c>
      <c r="G12" s="36" t="s">
        <v>497</v>
      </c>
      <c r="H12" s="288">
        <v>50000000</v>
      </c>
      <c r="I12" s="288">
        <v>50000000</v>
      </c>
      <c r="J12" s="11">
        <v>44211</v>
      </c>
      <c r="K12" s="11">
        <f t="shared" si="0"/>
        <v>44246</v>
      </c>
      <c r="L12" s="288">
        <v>45000000</v>
      </c>
      <c r="M12" s="11">
        <f t="shared" si="1"/>
        <v>44391</v>
      </c>
      <c r="N12" s="288">
        <v>0</v>
      </c>
      <c r="O12" s="288">
        <f>I12-N12</f>
        <v>50000000</v>
      </c>
      <c r="P12" s="11">
        <v>44359</v>
      </c>
      <c r="Q12" s="13" t="s">
        <v>216</v>
      </c>
      <c r="R12" s="440" t="s">
        <v>641</v>
      </c>
      <c r="S12" s="466"/>
    </row>
    <row r="13" spans="1:22">
      <c r="A13" s="13">
        <v>40</v>
      </c>
      <c r="B13" s="13">
        <v>61</v>
      </c>
      <c r="C13" s="13" t="s">
        <v>498</v>
      </c>
      <c r="D13" s="13" t="s">
        <v>390</v>
      </c>
      <c r="E13" s="13" t="s">
        <v>268</v>
      </c>
      <c r="F13" s="36" t="s">
        <v>339</v>
      </c>
      <c r="G13" s="36" t="s">
        <v>336</v>
      </c>
      <c r="H13" s="288">
        <v>0</v>
      </c>
      <c r="I13" s="288"/>
      <c r="J13" s="11"/>
      <c r="K13" s="11"/>
      <c r="L13" s="288"/>
      <c r="M13" s="11"/>
      <c r="N13" s="288"/>
      <c r="O13" s="288"/>
      <c r="P13" s="11"/>
      <c r="Q13" s="13" t="s">
        <v>264</v>
      </c>
      <c r="R13" s="43"/>
    </row>
    <row r="14" spans="1:22">
      <c r="A14" s="13">
        <v>43</v>
      </c>
      <c r="B14" s="13">
        <v>65</v>
      </c>
      <c r="C14" s="13">
        <v>5322</v>
      </c>
      <c r="D14" s="13" t="s">
        <v>391</v>
      </c>
      <c r="E14" s="13" t="s">
        <v>269</v>
      </c>
      <c r="F14" s="36" t="s">
        <v>337</v>
      </c>
      <c r="G14" s="36" t="s">
        <v>338</v>
      </c>
      <c r="H14" s="288">
        <v>35000000</v>
      </c>
      <c r="I14" s="288">
        <f>H14</f>
        <v>35000000</v>
      </c>
      <c r="J14" s="11">
        <v>44247</v>
      </c>
      <c r="K14" s="11">
        <f>J14+35</f>
        <v>44282</v>
      </c>
      <c r="L14" s="288">
        <v>35000000</v>
      </c>
      <c r="M14" s="11">
        <f>J14+180</f>
        <v>44427</v>
      </c>
      <c r="N14" s="288">
        <v>0</v>
      </c>
      <c r="O14" s="288">
        <f>L14-N14</f>
        <v>35000000</v>
      </c>
      <c r="P14" s="11">
        <v>44429</v>
      </c>
      <c r="Q14" s="13" t="s">
        <v>264</v>
      </c>
      <c r="R14" s="546" t="s">
        <v>667</v>
      </c>
      <c r="S14" s="466" t="s">
        <v>665</v>
      </c>
    </row>
    <row r="15" spans="1:22" s="441" customFormat="1">
      <c r="A15" s="441">
        <v>51</v>
      </c>
      <c r="B15" s="441">
        <v>74</v>
      </c>
      <c r="C15" s="441">
        <v>5323</v>
      </c>
      <c r="D15" s="441" t="s">
        <v>390</v>
      </c>
      <c r="E15" s="441" t="s">
        <v>269</v>
      </c>
      <c r="F15" s="442" t="s">
        <v>504</v>
      </c>
      <c r="G15" s="442" t="s">
        <v>505</v>
      </c>
      <c r="H15" s="386">
        <v>50000000</v>
      </c>
      <c r="I15" s="386">
        <f>H15</f>
        <v>50000000</v>
      </c>
      <c r="J15" s="443">
        <v>44247</v>
      </c>
      <c r="K15" s="443">
        <f>J15+35</f>
        <v>44282</v>
      </c>
      <c r="L15" s="386">
        <v>50000000</v>
      </c>
      <c r="M15" s="443">
        <f>J15+180</f>
        <v>44427</v>
      </c>
      <c r="N15" s="386">
        <v>0</v>
      </c>
      <c r="O15" s="386">
        <f>L15-N15</f>
        <v>50000000</v>
      </c>
      <c r="P15" s="443">
        <v>44397</v>
      </c>
      <c r="Q15" s="441" t="s">
        <v>264</v>
      </c>
      <c r="R15" s="527" t="s">
        <v>667</v>
      </c>
      <c r="S15" s="511" t="s">
        <v>666</v>
      </c>
    </row>
    <row r="16" spans="1:22" s="497" customFormat="1">
      <c r="A16" s="497">
        <v>53</v>
      </c>
      <c r="B16" s="497">
        <v>76</v>
      </c>
      <c r="C16" s="497" t="s">
        <v>499</v>
      </c>
      <c r="D16" s="497" t="s">
        <v>43</v>
      </c>
      <c r="E16" s="497" t="s">
        <v>268</v>
      </c>
      <c r="F16" s="498" t="s">
        <v>418</v>
      </c>
      <c r="G16" s="498" t="s">
        <v>419</v>
      </c>
      <c r="H16" s="499">
        <v>0</v>
      </c>
      <c r="I16" s="499"/>
      <c r="J16" s="500"/>
      <c r="K16" s="500"/>
      <c r="L16" s="501"/>
      <c r="M16" s="500"/>
      <c r="N16" s="499"/>
      <c r="O16" s="499"/>
      <c r="P16" s="500"/>
      <c r="Q16" s="497" t="s">
        <v>264</v>
      </c>
      <c r="R16" s="507"/>
    </row>
    <row r="17" spans="1:19" s="497" customFormat="1">
      <c r="A17" s="497">
        <v>69</v>
      </c>
      <c r="B17" s="497">
        <v>91</v>
      </c>
      <c r="C17" s="497" t="s">
        <v>500</v>
      </c>
      <c r="D17" s="497" t="s">
        <v>43</v>
      </c>
      <c r="E17" s="497" t="s">
        <v>269</v>
      </c>
      <c r="F17" s="498" t="s">
        <v>506</v>
      </c>
      <c r="G17" s="498" t="s">
        <v>80</v>
      </c>
      <c r="H17" s="499">
        <v>0</v>
      </c>
      <c r="I17" s="499"/>
      <c r="J17" s="500"/>
      <c r="K17" s="500"/>
      <c r="L17" s="499"/>
      <c r="M17" s="500"/>
      <c r="N17" s="499"/>
      <c r="O17" s="499"/>
      <c r="P17" s="500"/>
      <c r="Q17" s="497" t="s">
        <v>264</v>
      </c>
      <c r="R17" s="507"/>
    </row>
    <row r="18" spans="1:19" s="497" customFormat="1">
      <c r="A18" s="497">
        <v>77</v>
      </c>
      <c r="B18" s="497">
        <v>97</v>
      </c>
      <c r="C18" s="497" t="s">
        <v>501</v>
      </c>
      <c r="D18" s="497" t="s">
        <v>43</v>
      </c>
      <c r="E18" s="497" t="s">
        <v>268</v>
      </c>
      <c r="F18" s="498" t="s">
        <v>424</v>
      </c>
      <c r="G18" s="498" t="s">
        <v>388</v>
      </c>
      <c r="H18" s="499">
        <v>0</v>
      </c>
      <c r="I18" s="499"/>
      <c r="J18" s="500"/>
      <c r="K18" s="500"/>
      <c r="L18" s="499"/>
      <c r="M18" s="500"/>
      <c r="N18" s="499"/>
      <c r="O18" s="499"/>
      <c r="P18" s="500"/>
      <c r="Q18" s="497" t="s">
        <v>264</v>
      </c>
      <c r="R18" s="507"/>
      <c r="S18" s="508"/>
    </row>
    <row r="19" spans="1:19" s="497" customFormat="1">
      <c r="A19" s="497">
        <v>78</v>
      </c>
      <c r="B19" s="497">
        <v>98</v>
      </c>
      <c r="C19" s="497" t="s">
        <v>502</v>
      </c>
      <c r="D19" s="497" t="s">
        <v>43</v>
      </c>
      <c r="E19" s="497" t="s">
        <v>269</v>
      </c>
      <c r="F19" s="498" t="s">
        <v>507</v>
      </c>
      <c r="G19" s="498" t="s">
        <v>80</v>
      </c>
      <c r="H19" s="499">
        <v>0</v>
      </c>
      <c r="I19" s="499"/>
      <c r="J19" s="500"/>
      <c r="K19" s="500"/>
      <c r="L19" s="501"/>
      <c r="M19" s="500"/>
      <c r="N19" s="499"/>
      <c r="O19" s="499"/>
      <c r="P19" s="500"/>
      <c r="Q19" s="497" t="s">
        <v>264</v>
      </c>
      <c r="R19" s="507"/>
    </row>
    <row r="20" spans="1:19" s="497" customFormat="1">
      <c r="A20" s="497">
        <v>80</v>
      </c>
      <c r="B20" s="497">
        <v>100</v>
      </c>
      <c r="C20" s="497" t="s">
        <v>503</v>
      </c>
      <c r="D20" s="497" t="s">
        <v>43</v>
      </c>
      <c r="E20" s="497" t="s">
        <v>218</v>
      </c>
      <c r="F20" s="498" t="s">
        <v>508</v>
      </c>
      <c r="G20" s="498" t="s">
        <v>80</v>
      </c>
      <c r="H20" s="499">
        <v>0</v>
      </c>
      <c r="I20" s="499"/>
      <c r="J20" s="500"/>
      <c r="K20" s="500"/>
      <c r="L20" s="499"/>
      <c r="M20" s="500"/>
      <c r="N20" s="499"/>
      <c r="O20" s="499"/>
      <c r="P20" s="500"/>
      <c r="Q20" s="497" t="s">
        <v>264</v>
      </c>
      <c r="R20" s="507"/>
    </row>
    <row r="21" spans="1:19" s="497" customFormat="1">
      <c r="A21" s="497">
        <v>83</v>
      </c>
      <c r="B21" s="497">
        <v>104</v>
      </c>
      <c r="C21" s="497" t="s">
        <v>509</v>
      </c>
      <c r="D21" s="497" t="s">
        <v>43</v>
      </c>
      <c r="E21" s="497" t="s">
        <v>218</v>
      </c>
      <c r="F21" s="498" t="s">
        <v>512</v>
      </c>
      <c r="G21" s="498" t="s">
        <v>80</v>
      </c>
      <c r="H21" s="499">
        <v>0</v>
      </c>
      <c r="I21" s="499"/>
      <c r="J21" s="500"/>
      <c r="K21" s="500"/>
      <c r="L21" s="501"/>
      <c r="M21" s="500"/>
      <c r="N21" s="499"/>
      <c r="O21" s="499"/>
      <c r="P21" s="500"/>
      <c r="Q21" s="497" t="s">
        <v>272</v>
      </c>
    </row>
    <row r="22" spans="1:19" s="497" customFormat="1">
      <c r="A22" s="497">
        <v>100</v>
      </c>
      <c r="B22" s="497">
        <v>110</v>
      </c>
      <c r="C22" s="497" t="s">
        <v>510</v>
      </c>
      <c r="D22" s="497" t="s">
        <v>43</v>
      </c>
      <c r="E22" s="497" t="s">
        <v>269</v>
      </c>
      <c r="F22" s="498" t="s">
        <v>513</v>
      </c>
      <c r="G22" s="498" t="s">
        <v>80</v>
      </c>
      <c r="H22" s="499">
        <v>0</v>
      </c>
      <c r="I22" s="499"/>
      <c r="J22" s="500"/>
      <c r="K22" s="500"/>
      <c r="L22" s="501"/>
      <c r="M22" s="500"/>
      <c r="N22" s="499"/>
      <c r="O22" s="499"/>
      <c r="P22" s="500"/>
      <c r="Q22" s="497" t="s">
        <v>272</v>
      </c>
    </row>
    <row r="23" spans="1:19" s="497" customFormat="1">
      <c r="A23" s="497">
        <v>105</v>
      </c>
      <c r="B23" s="497">
        <v>112</v>
      </c>
      <c r="C23" s="497" t="s">
        <v>511</v>
      </c>
      <c r="D23" s="497" t="s">
        <v>43</v>
      </c>
      <c r="E23" s="497" t="s">
        <v>269</v>
      </c>
      <c r="F23" s="498" t="s">
        <v>514</v>
      </c>
      <c r="G23" s="498" t="s">
        <v>80</v>
      </c>
      <c r="H23" s="499">
        <v>0</v>
      </c>
      <c r="I23" s="499"/>
      <c r="J23" s="500"/>
      <c r="K23" s="500"/>
      <c r="L23" s="501"/>
      <c r="M23" s="500"/>
      <c r="N23" s="499"/>
      <c r="O23" s="499"/>
      <c r="P23" s="500"/>
      <c r="Q23" s="497" t="s">
        <v>272</v>
      </c>
    </row>
    <row r="24" spans="1:19">
      <c r="F24" s="36"/>
      <c r="G24" s="36"/>
      <c r="H24" s="59"/>
      <c r="I24" s="59"/>
      <c r="J24" s="11"/>
      <c r="K24" s="11"/>
      <c r="L24" s="45"/>
      <c r="M24" s="11"/>
      <c r="N24" s="27"/>
      <c r="O24" s="27"/>
      <c r="P24" s="11"/>
    </row>
    <row r="25" spans="1:19">
      <c r="A25" s="43"/>
      <c r="B25" s="43"/>
      <c r="C25" s="43"/>
      <c r="D25" s="43"/>
      <c r="E25" s="1"/>
      <c r="F25" s="13" t="s">
        <v>19</v>
      </c>
      <c r="H25" s="262">
        <f>SUM(H7:H24)</f>
        <v>262000000</v>
      </c>
      <c r="I25" s="262">
        <f>SUM(I7:I24)</f>
        <v>262000000</v>
      </c>
      <c r="J25" s="10"/>
      <c r="K25" s="10"/>
      <c r="L25" s="262">
        <f>SUM(L7:L24)</f>
        <v>257000000</v>
      </c>
      <c r="M25" s="10"/>
      <c r="N25" s="262">
        <f>SUM(N7:N24)</f>
        <v>61637404</v>
      </c>
      <c r="O25" s="262">
        <f>SUM(O7:O24)</f>
        <v>200362596</v>
      </c>
    </row>
    <row r="26" spans="1:19" s="1" customFormat="1">
      <c r="A26" s="5"/>
      <c r="B26" s="5"/>
      <c r="C26" s="5"/>
      <c r="D26" s="88"/>
      <c r="F26" s="13"/>
      <c r="H26" s="76"/>
      <c r="J26" s="11"/>
      <c r="K26" s="11"/>
      <c r="L26" s="9"/>
      <c r="M26" s="6"/>
      <c r="Q26" s="13"/>
    </row>
    <row r="27" spans="1:19" s="1" customFormat="1">
      <c r="A27" s="5"/>
      <c r="B27" s="5"/>
      <c r="C27" s="5"/>
      <c r="E27" s="5"/>
      <c r="F27" s="13" t="s">
        <v>43</v>
      </c>
      <c r="G27" s="5"/>
      <c r="H27" s="34">
        <f>H25-I25</f>
        <v>0</v>
      </c>
      <c r="I27" s="9"/>
      <c r="L27" s="9"/>
      <c r="Q27" s="13"/>
    </row>
    <row r="28" spans="1:19" s="1" customFormat="1">
      <c r="A28" s="5"/>
      <c r="B28" s="5"/>
      <c r="C28" s="5"/>
      <c r="E28" s="5"/>
      <c r="G28" s="5"/>
      <c r="H28" s="67"/>
      <c r="I28" s="9"/>
      <c r="K28" s="93"/>
      <c r="L28" s="9"/>
      <c r="N28" s="76"/>
      <c r="Q28" s="13"/>
    </row>
    <row r="29" spans="1:19" s="1" customFormat="1">
      <c r="A29" s="5"/>
      <c r="B29" s="5"/>
      <c r="C29" s="5"/>
      <c r="E29" s="133"/>
      <c r="F29" s="58" t="s">
        <v>75</v>
      </c>
      <c r="G29" s="5"/>
      <c r="H29" s="77">
        <f>+E1-I25+O25+G32</f>
        <v>125500546</v>
      </c>
      <c r="I29" s="291"/>
      <c r="J29" s="138"/>
      <c r="K29" s="93"/>
      <c r="L29" s="83"/>
      <c r="M29" s="138"/>
      <c r="O29" s="9"/>
      <c r="Q29" s="13"/>
    </row>
    <row r="30" spans="1:19">
      <c r="H30" s="60"/>
      <c r="I30" s="60"/>
      <c r="J30" s="10"/>
      <c r="K30" s="93"/>
      <c r="L30" s="35"/>
    </row>
    <row r="31" spans="1:19">
      <c r="A31" s="5"/>
      <c r="B31" s="5"/>
      <c r="C31" s="5"/>
      <c r="K31" s="11"/>
    </row>
    <row r="32" spans="1:19">
      <c r="A32" s="5"/>
      <c r="B32" s="5"/>
      <c r="C32" s="5"/>
      <c r="G32" s="438">
        <f>SUM(G31)</f>
        <v>0</v>
      </c>
    </row>
    <row r="34" spans="1:10">
      <c r="G34" s="10"/>
    </row>
    <row r="35" spans="1:10">
      <c r="G35" s="288"/>
      <c r="H35" s="439"/>
      <c r="J35" s="13" t="s">
        <v>7</v>
      </c>
    </row>
    <row r="36" spans="1:10">
      <c r="G36" s="288"/>
      <c r="H36" s="436"/>
    </row>
    <row r="37" spans="1:10">
      <c r="C37" s="43"/>
      <c r="D37" s="43"/>
      <c r="E37" s="148"/>
    </row>
    <row r="40" spans="1:10">
      <c r="A40" s="43"/>
      <c r="B40" s="43"/>
      <c r="C40" s="43"/>
      <c r="D40" s="43"/>
      <c r="E40" s="43"/>
      <c r="F40" s="43"/>
      <c r="G40" s="43"/>
      <c r="H40" s="43"/>
    </row>
    <row r="43" spans="1:10">
      <c r="A43" s="43"/>
      <c r="B43" s="43"/>
      <c r="C43" s="43"/>
      <c r="D43" s="43"/>
      <c r="E43" s="43"/>
      <c r="F43" s="43"/>
      <c r="G43" s="43"/>
      <c r="H43" s="43"/>
    </row>
    <row r="45" spans="1:10">
      <c r="A45" s="43"/>
      <c r="B45" s="43"/>
      <c r="C45" s="43"/>
      <c r="D45" s="43"/>
      <c r="E45" s="43"/>
      <c r="F45" s="43"/>
      <c r="G45" s="43"/>
      <c r="H45" s="43"/>
    </row>
  </sheetData>
  <phoneticPr fontId="0" type="noConversion"/>
  <pageMargins left="0.75" right="0.75" top="1" bottom="1" header="0.5" footer="0.5"/>
  <pageSetup scale="74" fitToHeight="2" orientation="landscape" horizontalDpi="4294967292" verticalDpi="4294967292" r:id="rId1"/>
  <headerFooter alignWithMargins="0"/>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0.499984740745262"/>
  </sheetPr>
  <dimension ref="A1:V43"/>
  <sheetViews>
    <sheetView zoomScaleNormal="100" workbookViewId="0">
      <selection activeCell="H30" sqref="H30"/>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7.625" style="13" bestFit="1" customWidth="1"/>
    <col min="6" max="6" width="33" style="13" customWidth="1"/>
    <col min="7" max="7" width="14"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4" style="12" bestFit="1" customWidth="1"/>
    <col min="16" max="16" width="10.625" style="13" bestFit="1" customWidth="1"/>
    <col min="17" max="17" width="10.25" style="13" bestFit="1" customWidth="1"/>
    <col min="18" max="18" width="40.375" style="13" bestFit="1" customWidth="1"/>
    <col min="19" max="19" width="26.25" style="13" bestFit="1" customWidth="1"/>
    <col min="20" max="20" width="14.25" style="13" bestFit="1" customWidth="1"/>
    <col min="21" max="16384" width="10.875" style="13"/>
  </cols>
  <sheetData>
    <row r="1" spans="1:22" s="17" customFormat="1" ht="11.4">
      <c r="A1" s="16" t="s">
        <v>12</v>
      </c>
      <c r="B1" s="290"/>
      <c r="C1" s="290"/>
      <c r="E1" s="378">
        <f>ROUND(Totals!$H$8*Totals!$P$14, 0)</f>
        <v>61730230</v>
      </c>
      <c r="F1" s="18"/>
      <c r="G1" s="18"/>
      <c r="H1" s="330"/>
      <c r="I1" s="331"/>
      <c r="J1" s="283"/>
      <c r="K1" s="283"/>
      <c r="L1" s="331"/>
      <c r="M1" s="283"/>
      <c r="N1" s="330"/>
      <c r="O1" s="330"/>
      <c r="P1" s="283"/>
      <c r="R1" s="284"/>
      <c r="S1" s="5"/>
      <c r="T1" s="5"/>
      <c r="U1" s="5"/>
      <c r="V1" s="5"/>
    </row>
    <row r="2" spans="1:22" s="5" customFormat="1" ht="11.4">
      <c r="A2" s="25" t="s">
        <v>11</v>
      </c>
      <c r="B2" s="48"/>
      <c r="C2" s="48"/>
      <c r="E2" s="26"/>
      <c r="F2" s="26"/>
      <c r="G2" s="26"/>
      <c r="H2" s="46"/>
      <c r="I2" s="47"/>
      <c r="J2" s="6"/>
      <c r="K2" s="6"/>
      <c r="L2" s="47"/>
      <c r="M2" s="6"/>
      <c r="N2" s="46"/>
      <c r="O2" s="46"/>
      <c r="P2" s="6"/>
      <c r="R2" s="285"/>
    </row>
    <row r="3" spans="1:22">
      <c r="A3" s="136"/>
      <c r="B3" s="43"/>
      <c r="C3" s="43"/>
      <c r="E3" s="36"/>
      <c r="F3" s="36"/>
      <c r="G3" s="36"/>
      <c r="H3" s="44"/>
      <c r="I3" s="86"/>
      <c r="L3" s="13"/>
      <c r="M3" s="11"/>
      <c r="N3" s="44"/>
      <c r="O3" s="44"/>
      <c r="P3" s="11"/>
      <c r="Q3" s="1"/>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A7" s="13">
        <v>3</v>
      </c>
      <c r="B7" s="13">
        <v>3</v>
      </c>
      <c r="C7" s="13">
        <v>5276</v>
      </c>
      <c r="D7" s="13" t="s">
        <v>390</v>
      </c>
      <c r="E7" s="13" t="s">
        <v>221</v>
      </c>
      <c r="F7" s="36" t="s">
        <v>421</v>
      </c>
      <c r="G7" s="36" t="s">
        <v>79</v>
      </c>
      <c r="H7" s="420">
        <v>8000000</v>
      </c>
      <c r="I7" s="288">
        <f>H7</f>
        <v>8000000</v>
      </c>
      <c r="J7" s="11">
        <v>44205</v>
      </c>
      <c r="K7" s="11">
        <f>J7+35</f>
        <v>44240</v>
      </c>
      <c r="L7" s="288">
        <v>8000000</v>
      </c>
      <c r="M7" s="11">
        <f>J7+180</f>
        <v>44385</v>
      </c>
      <c r="N7" s="288">
        <v>0</v>
      </c>
      <c r="O7" s="288">
        <f>L7-N7</f>
        <v>8000000</v>
      </c>
      <c r="P7" s="11">
        <v>44384</v>
      </c>
      <c r="Q7" s="13" t="s">
        <v>210</v>
      </c>
      <c r="R7" s="440" t="s">
        <v>630</v>
      </c>
      <c r="S7" s="43"/>
    </row>
    <row r="8" spans="1:22">
      <c r="A8" s="13">
        <v>12</v>
      </c>
      <c r="B8" s="13">
        <v>18</v>
      </c>
      <c r="C8" s="13">
        <v>5284</v>
      </c>
      <c r="D8" s="13" t="s">
        <v>390</v>
      </c>
      <c r="E8" s="13" t="s">
        <v>221</v>
      </c>
      <c r="F8" s="36" t="s">
        <v>420</v>
      </c>
      <c r="G8" s="36" t="s">
        <v>291</v>
      </c>
      <c r="H8" s="420">
        <v>8500000</v>
      </c>
      <c r="I8" s="288">
        <f>H8</f>
        <v>8500000</v>
      </c>
      <c r="J8" s="11">
        <v>44208</v>
      </c>
      <c r="K8" s="11">
        <f>J8+35</f>
        <v>44243</v>
      </c>
      <c r="L8" s="288">
        <v>8500000</v>
      </c>
      <c r="M8" s="11">
        <f>J8+180</f>
        <v>44388</v>
      </c>
      <c r="N8" s="348">
        <v>0</v>
      </c>
      <c r="O8" s="288">
        <f>L8-N8</f>
        <v>8500000</v>
      </c>
      <c r="P8" s="11">
        <v>44384</v>
      </c>
      <c r="Q8" s="13" t="s">
        <v>210</v>
      </c>
      <c r="R8" s="440" t="s">
        <v>631</v>
      </c>
      <c r="S8" s="43"/>
    </row>
    <row r="9" spans="1:22">
      <c r="A9" s="13">
        <v>16</v>
      </c>
      <c r="B9" s="13">
        <v>30</v>
      </c>
      <c r="C9" s="13">
        <v>5293</v>
      </c>
      <c r="D9" s="13" t="s">
        <v>390</v>
      </c>
      <c r="E9" s="13" t="s">
        <v>98</v>
      </c>
      <c r="F9" s="36" t="s">
        <v>188</v>
      </c>
      <c r="G9" s="36" t="s">
        <v>79</v>
      </c>
      <c r="H9" s="420">
        <v>35000000</v>
      </c>
      <c r="I9" s="288">
        <f>H9</f>
        <v>35000000</v>
      </c>
      <c r="J9" s="11">
        <v>44209</v>
      </c>
      <c r="K9" s="11">
        <f>J9+35</f>
        <v>44244</v>
      </c>
      <c r="L9" s="288">
        <v>35000000</v>
      </c>
      <c r="M9" s="11">
        <f>J9+180</f>
        <v>44389</v>
      </c>
      <c r="N9" s="288">
        <v>0</v>
      </c>
      <c r="O9" s="288">
        <f>L9-N9</f>
        <v>35000000</v>
      </c>
      <c r="P9" s="11">
        <v>44348</v>
      </c>
      <c r="Q9" s="13" t="s">
        <v>209</v>
      </c>
      <c r="R9" s="440" t="s">
        <v>637</v>
      </c>
    </row>
    <row r="10" spans="1:22">
      <c r="A10" s="13">
        <v>30</v>
      </c>
      <c r="B10" s="13">
        <v>52</v>
      </c>
      <c r="C10" s="13" t="s">
        <v>515</v>
      </c>
      <c r="D10" s="13" t="s">
        <v>390</v>
      </c>
      <c r="E10" s="13" t="s">
        <v>98</v>
      </c>
      <c r="F10" s="36" t="s">
        <v>174</v>
      </c>
      <c r="G10" s="36" t="s">
        <v>79</v>
      </c>
      <c r="H10" s="420">
        <v>0</v>
      </c>
      <c r="I10" s="288"/>
      <c r="J10" s="11"/>
      <c r="K10" s="11"/>
      <c r="L10" s="348"/>
      <c r="M10" s="11"/>
      <c r="N10" s="288"/>
      <c r="O10" s="288"/>
      <c r="P10" s="11"/>
      <c r="Q10" s="13" t="s">
        <v>264</v>
      </c>
      <c r="R10" s="93"/>
    </row>
    <row r="11" spans="1:22" s="441" customFormat="1">
      <c r="A11" s="441">
        <v>31</v>
      </c>
      <c r="B11" s="441">
        <v>53</v>
      </c>
      <c r="C11" s="441">
        <v>5316</v>
      </c>
      <c r="D11" s="441" t="s">
        <v>390</v>
      </c>
      <c r="E11" s="441" t="s">
        <v>98</v>
      </c>
      <c r="F11" s="442" t="s">
        <v>408</v>
      </c>
      <c r="G11" s="442" t="s">
        <v>79</v>
      </c>
      <c r="H11" s="509">
        <v>40000000</v>
      </c>
      <c r="I11" s="386">
        <f>H11</f>
        <v>40000000</v>
      </c>
      <c r="J11" s="443">
        <v>44218</v>
      </c>
      <c r="K11" s="443">
        <f>J11+35</f>
        <v>44253</v>
      </c>
      <c r="L11" s="386">
        <v>40000000</v>
      </c>
      <c r="M11" s="443">
        <f>J11+180</f>
        <v>44398</v>
      </c>
      <c r="N11" s="386">
        <v>0</v>
      </c>
      <c r="O11" s="386">
        <f>L11-N11</f>
        <v>40000000</v>
      </c>
      <c r="P11" s="443">
        <v>44281</v>
      </c>
      <c r="Q11" s="441" t="s">
        <v>264</v>
      </c>
      <c r="R11" s="510" t="s">
        <v>651</v>
      </c>
      <c r="S11" s="511" t="s">
        <v>652</v>
      </c>
    </row>
    <row r="12" spans="1:22" s="497" customFormat="1">
      <c r="A12" s="497">
        <v>35</v>
      </c>
      <c r="B12" s="497">
        <v>57</v>
      </c>
      <c r="C12" s="497" t="s">
        <v>516</v>
      </c>
      <c r="D12" s="497" t="s">
        <v>43</v>
      </c>
      <c r="E12" s="497" t="s">
        <v>141</v>
      </c>
      <c r="F12" s="498" t="s">
        <v>340</v>
      </c>
      <c r="G12" s="498" t="s">
        <v>341</v>
      </c>
      <c r="H12" s="503">
        <v>0</v>
      </c>
      <c r="I12" s="499"/>
      <c r="J12" s="500"/>
      <c r="K12" s="500"/>
      <c r="L12" s="499"/>
      <c r="M12" s="500"/>
      <c r="N12" s="499"/>
      <c r="O12" s="499"/>
      <c r="P12" s="500"/>
      <c r="Q12" s="497" t="s">
        <v>264</v>
      </c>
      <c r="R12" s="500"/>
    </row>
    <row r="13" spans="1:22">
      <c r="A13" s="13">
        <v>44</v>
      </c>
      <c r="B13" s="13">
        <v>66</v>
      </c>
      <c r="C13" s="13">
        <v>5328</v>
      </c>
      <c r="D13" s="13" t="s">
        <v>390</v>
      </c>
      <c r="E13" s="13" t="s">
        <v>221</v>
      </c>
      <c r="F13" s="36" t="s">
        <v>527</v>
      </c>
      <c r="G13" s="36" t="s">
        <v>163</v>
      </c>
      <c r="H13" s="420">
        <v>42000000</v>
      </c>
      <c r="I13" s="288">
        <f>H13</f>
        <v>42000000</v>
      </c>
      <c r="J13" s="11">
        <v>44253</v>
      </c>
      <c r="K13" s="11">
        <f>J13+35</f>
        <v>44288</v>
      </c>
      <c r="L13" s="288">
        <v>42000000</v>
      </c>
      <c r="M13" s="11">
        <f>J13+180</f>
        <v>44433</v>
      </c>
      <c r="N13" s="288">
        <v>0</v>
      </c>
      <c r="O13" s="288">
        <f>L13-N13</f>
        <v>42000000</v>
      </c>
      <c r="P13" s="11">
        <v>44281</v>
      </c>
      <c r="Q13" s="13" t="s">
        <v>264</v>
      </c>
      <c r="R13" s="440" t="s">
        <v>674</v>
      </c>
      <c r="S13" s="466" t="s">
        <v>676</v>
      </c>
    </row>
    <row r="14" spans="1:22" s="497" customFormat="1">
      <c r="A14" s="497">
        <v>50</v>
      </c>
      <c r="B14" s="497">
        <v>73</v>
      </c>
      <c r="C14" s="497" t="s">
        <v>517</v>
      </c>
      <c r="D14" s="497" t="s">
        <v>43</v>
      </c>
      <c r="E14" s="497" t="s">
        <v>141</v>
      </c>
      <c r="F14" s="498" t="s">
        <v>406</v>
      </c>
      <c r="G14" s="498" t="s">
        <v>275</v>
      </c>
      <c r="H14" s="503">
        <v>0</v>
      </c>
      <c r="I14" s="499"/>
      <c r="J14" s="500"/>
      <c r="K14" s="500"/>
      <c r="L14" s="499"/>
      <c r="M14" s="500"/>
      <c r="N14" s="499"/>
      <c r="O14" s="499"/>
      <c r="P14" s="500"/>
      <c r="Q14" s="497" t="s">
        <v>264</v>
      </c>
      <c r="R14" s="500"/>
    </row>
    <row r="15" spans="1:22">
      <c r="A15" s="13">
        <v>55</v>
      </c>
      <c r="B15" s="13">
        <v>77</v>
      </c>
      <c r="C15" s="13" t="s">
        <v>518</v>
      </c>
      <c r="D15" s="13" t="s">
        <v>390</v>
      </c>
      <c r="E15" s="13" t="s">
        <v>141</v>
      </c>
      <c r="F15" s="36" t="s">
        <v>270</v>
      </c>
      <c r="G15" s="36" t="s">
        <v>271</v>
      </c>
      <c r="H15" s="420">
        <v>0</v>
      </c>
      <c r="I15" s="288"/>
      <c r="J15" s="11"/>
      <c r="K15" s="11"/>
      <c r="L15" s="288"/>
      <c r="M15" s="11"/>
      <c r="N15" s="288"/>
      <c r="O15" s="288"/>
      <c r="P15" s="11"/>
      <c r="Q15" s="13" t="s">
        <v>264</v>
      </c>
      <c r="R15" s="11"/>
    </row>
    <row r="16" spans="1:22">
      <c r="A16" s="13">
        <v>57</v>
      </c>
      <c r="B16" s="13">
        <v>79</v>
      </c>
      <c r="C16" s="13" t="s">
        <v>519</v>
      </c>
      <c r="D16" s="13" t="s">
        <v>390</v>
      </c>
      <c r="E16" s="13" t="s">
        <v>221</v>
      </c>
      <c r="F16" s="36" t="s">
        <v>399</v>
      </c>
      <c r="G16" s="36" t="s">
        <v>79</v>
      </c>
      <c r="H16" s="420">
        <v>0</v>
      </c>
      <c r="I16" s="288"/>
      <c r="J16" s="11"/>
      <c r="K16" s="11"/>
      <c r="L16" s="288"/>
      <c r="M16" s="11"/>
      <c r="N16" s="288"/>
      <c r="O16" s="288"/>
      <c r="P16" s="11"/>
      <c r="Q16" s="13" t="s">
        <v>264</v>
      </c>
      <c r="R16" s="93" t="s">
        <v>675</v>
      </c>
    </row>
    <row r="17" spans="1:19" s="497" customFormat="1">
      <c r="A17" s="497">
        <v>65</v>
      </c>
      <c r="B17" s="497">
        <v>85</v>
      </c>
      <c r="C17" s="497" t="s">
        <v>520</v>
      </c>
      <c r="D17" s="497" t="s">
        <v>43</v>
      </c>
      <c r="E17" s="497" t="s">
        <v>221</v>
      </c>
      <c r="F17" s="498" t="s">
        <v>400</v>
      </c>
      <c r="G17" s="498" t="s">
        <v>79</v>
      </c>
      <c r="H17" s="503">
        <v>0</v>
      </c>
      <c r="I17" s="499"/>
      <c r="J17" s="500"/>
      <c r="K17" s="500"/>
      <c r="L17" s="499"/>
      <c r="M17" s="500"/>
      <c r="N17" s="499"/>
      <c r="O17" s="499"/>
      <c r="P17" s="500"/>
      <c r="Q17" s="497" t="s">
        <v>264</v>
      </c>
      <c r="R17" s="504" t="s">
        <v>678</v>
      </c>
    </row>
    <row r="18" spans="1:19" s="497" customFormat="1">
      <c r="A18" s="497">
        <v>70</v>
      </c>
      <c r="B18" s="497">
        <v>92</v>
      </c>
      <c r="C18" s="497" t="s">
        <v>521</v>
      </c>
      <c r="D18" s="497" t="s">
        <v>43</v>
      </c>
      <c r="E18" s="497" t="s">
        <v>141</v>
      </c>
      <c r="F18" s="498" t="s">
        <v>528</v>
      </c>
      <c r="G18" s="498" t="s">
        <v>271</v>
      </c>
      <c r="H18" s="503">
        <v>0</v>
      </c>
      <c r="I18" s="499"/>
      <c r="J18" s="500"/>
      <c r="K18" s="500"/>
      <c r="L18" s="499"/>
      <c r="M18" s="500"/>
      <c r="N18" s="499"/>
      <c r="O18" s="499"/>
      <c r="P18" s="500"/>
      <c r="Q18" s="497" t="s">
        <v>264</v>
      </c>
      <c r="R18" s="500"/>
    </row>
    <row r="19" spans="1:19">
      <c r="A19" s="13">
        <v>81</v>
      </c>
      <c r="B19" s="13">
        <v>101</v>
      </c>
      <c r="C19" s="13" t="s">
        <v>522</v>
      </c>
      <c r="D19" s="13" t="s">
        <v>390</v>
      </c>
      <c r="E19" s="13" t="s">
        <v>98</v>
      </c>
      <c r="F19" s="36" t="s">
        <v>409</v>
      </c>
      <c r="G19" s="36" t="s">
        <v>79</v>
      </c>
      <c r="H19" s="420">
        <v>0</v>
      </c>
      <c r="I19" s="288"/>
      <c r="J19" s="11"/>
      <c r="K19" s="11"/>
      <c r="L19" s="288"/>
      <c r="M19" s="11"/>
      <c r="N19" s="288"/>
      <c r="O19" s="288"/>
      <c r="P19" s="11"/>
      <c r="Q19" s="13" t="s">
        <v>264</v>
      </c>
      <c r="R19" s="11"/>
    </row>
    <row r="20" spans="1:19" s="497" customFormat="1">
      <c r="A20" s="497">
        <v>90</v>
      </c>
      <c r="B20" s="497">
        <v>106</v>
      </c>
      <c r="C20" s="497" t="s">
        <v>523</v>
      </c>
      <c r="D20" s="497" t="s">
        <v>43</v>
      </c>
      <c r="E20" s="497" t="s">
        <v>141</v>
      </c>
      <c r="F20" s="498" t="s">
        <v>342</v>
      </c>
      <c r="G20" s="498" t="s">
        <v>343</v>
      </c>
      <c r="H20" s="503">
        <v>0</v>
      </c>
      <c r="I20" s="499"/>
      <c r="J20" s="500"/>
      <c r="K20" s="500"/>
      <c r="L20" s="499"/>
      <c r="M20" s="500"/>
      <c r="N20" s="499"/>
      <c r="O20" s="499"/>
      <c r="P20" s="500"/>
      <c r="Q20" s="497" t="s">
        <v>272</v>
      </c>
      <c r="R20" s="500"/>
    </row>
    <row r="21" spans="1:19" s="497" customFormat="1">
      <c r="A21" s="497">
        <v>104</v>
      </c>
      <c r="B21" s="497">
        <v>111</v>
      </c>
      <c r="C21" s="497" t="s">
        <v>524</v>
      </c>
      <c r="D21" s="497" t="s">
        <v>43</v>
      </c>
      <c r="E21" s="497" t="s">
        <v>221</v>
      </c>
      <c r="F21" s="498" t="s">
        <v>529</v>
      </c>
      <c r="G21" s="498" t="s">
        <v>79</v>
      </c>
      <c r="H21" s="503">
        <v>0</v>
      </c>
      <c r="I21" s="499"/>
      <c r="J21" s="500"/>
      <c r="K21" s="500"/>
      <c r="L21" s="499"/>
      <c r="M21" s="500"/>
      <c r="N21" s="499"/>
      <c r="O21" s="499"/>
      <c r="P21" s="500"/>
      <c r="Q21" s="497" t="s">
        <v>272</v>
      </c>
      <c r="R21" s="500"/>
    </row>
    <row r="22" spans="1:19">
      <c r="A22" s="13">
        <v>108</v>
      </c>
      <c r="B22" s="13">
        <v>115</v>
      </c>
      <c r="C22" s="13">
        <v>5315</v>
      </c>
      <c r="D22" s="13" t="s">
        <v>390</v>
      </c>
      <c r="E22" s="13" t="s">
        <v>98</v>
      </c>
      <c r="F22" s="36" t="s">
        <v>398</v>
      </c>
      <c r="G22" s="36" t="s">
        <v>79</v>
      </c>
      <c r="H22" s="420">
        <v>40000000</v>
      </c>
      <c r="I22" s="288">
        <f>H22</f>
        <v>40000000</v>
      </c>
      <c r="J22" s="11">
        <v>44218</v>
      </c>
      <c r="K22" s="11">
        <f>J22+35</f>
        <v>44253</v>
      </c>
      <c r="L22" s="288">
        <v>40000000</v>
      </c>
      <c r="M22" s="11">
        <f>J22+180</f>
        <v>44398</v>
      </c>
      <c r="N22" s="288">
        <v>0</v>
      </c>
      <c r="O22" s="288">
        <f>L22-N22</f>
        <v>40000000</v>
      </c>
      <c r="P22" s="11">
        <v>44365</v>
      </c>
      <c r="Q22" s="13" t="s">
        <v>272</v>
      </c>
      <c r="R22" s="11"/>
      <c r="S22" s="466" t="s">
        <v>649</v>
      </c>
    </row>
    <row r="23" spans="1:19">
      <c r="A23" s="13">
        <v>109</v>
      </c>
      <c r="B23" s="13">
        <v>116</v>
      </c>
      <c r="C23" s="13" t="s">
        <v>525</v>
      </c>
      <c r="D23" s="13" t="s">
        <v>390</v>
      </c>
      <c r="E23" s="13" t="s">
        <v>143</v>
      </c>
      <c r="F23" s="36" t="s">
        <v>346</v>
      </c>
      <c r="G23" s="36" t="s">
        <v>79</v>
      </c>
      <c r="H23" s="420">
        <v>0</v>
      </c>
      <c r="I23" s="288"/>
      <c r="J23" s="11"/>
      <c r="K23" s="11"/>
      <c r="L23" s="288"/>
      <c r="M23" s="11"/>
      <c r="N23" s="288"/>
      <c r="O23" s="288"/>
      <c r="P23" s="11"/>
      <c r="Q23" s="13" t="s">
        <v>272</v>
      </c>
      <c r="R23" s="11"/>
    </row>
    <row r="24" spans="1:19" s="497" customFormat="1">
      <c r="A24" s="497">
        <v>115</v>
      </c>
      <c r="B24" s="497">
        <v>118</v>
      </c>
      <c r="C24" s="497" t="s">
        <v>526</v>
      </c>
      <c r="D24" s="497" t="s">
        <v>43</v>
      </c>
      <c r="E24" s="497" t="s">
        <v>141</v>
      </c>
      <c r="F24" s="498" t="s">
        <v>219</v>
      </c>
      <c r="G24" s="498" t="s">
        <v>142</v>
      </c>
      <c r="H24" s="503">
        <v>0</v>
      </c>
      <c r="I24" s="499"/>
      <c r="J24" s="500"/>
      <c r="K24" s="500"/>
      <c r="L24" s="499"/>
      <c r="M24" s="500"/>
      <c r="N24" s="499"/>
      <c r="O24" s="499"/>
      <c r="P24" s="500"/>
      <c r="Q24" s="497" t="s">
        <v>272</v>
      </c>
      <c r="R24" s="500"/>
    </row>
    <row r="25" spans="1:19">
      <c r="F25" s="36"/>
      <c r="G25" s="36"/>
      <c r="H25" s="420"/>
      <c r="I25" s="288"/>
      <c r="J25" s="11"/>
      <c r="K25" s="11"/>
      <c r="L25" s="288"/>
      <c r="M25" s="11"/>
      <c r="N25" s="288"/>
      <c r="O25" s="288"/>
      <c r="P25" s="11"/>
      <c r="R25" s="11"/>
    </row>
    <row r="26" spans="1:19">
      <c r="A26" s="43"/>
      <c r="B26" s="43"/>
      <c r="C26" s="43"/>
      <c r="D26" s="43"/>
      <c r="E26" s="1"/>
      <c r="F26" s="13" t="s">
        <v>19</v>
      </c>
      <c r="H26" s="262">
        <f>SUM(H7:H25)</f>
        <v>173500000</v>
      </c>
      <c r="I26" s="262">
        <f>SUM(I7:I25)</f>
        <v>173500000</v>
      </c>
      <c r="J26" s="10"/>
      <c r="K26" s="10"/>
      <c r="L26" s="262">
        <f>SUM(L7:L25)</f>
        <v>173500000</v>
      </c>
      <c r="M26" s="10"/>
      <c r="N26" s="262">
        <f>SUM(N7:N25)</f>
        <v>0</v>
      </c>
      <c r="O26" s="262">
        <f>SUM(O7:O25)</f>
        <v>173500000</v>
      </c>
    </row>
    <row r="27" spans="1:19" s="1" customFormat="1">
      <c r="A27" s="5"/>
      <c r="B27" s="5"/>
      <c r="C27" s="5"/>
      <c r="D27" s="88"/>
      <c r="F27" s="13"/>
      <c r="H27" s="76"/>
      <c r="J27" s="11"/>
      <c r="K27" s="11"/>
      <c r="L27" s="9"/>
      <c r="M27" s="6"/>
      <c r="Q27" s="13"/>
    </row>
    <row r="28" spans="1:19" s="1" customFormat="1">
      <c r="A28" s="5"/>
      <c r="B28" s="5"/>
      <c r="C28" s="5"/>
      <c r="E28" s="5"/>
      <c r="F28" s="13" t="s">
        <v>43</v>
      </c>
      <c r="G28" s="5"/>
      <c r="H28" s="34">
        <f>H26-I26</f>
        <v>0</v>
      </c>
      <c r="I28" s="9"/>
      <c r="J28" s="3"/>
      <c r="L28" s="9"/>
      <c r="Q28" s="13"/>
    </row>
    <row r="29" spans="1:19" s="1" customFormat="1">
      <c r="A29" s="5"/>
      <c r="B29" s="5"/>
      <c r="C29" s="5"/>
      <c r="E29" s="5"/>
      <c r="G29" s="5"/>
      <c r="H29" s="67"/>
      <c r="I29" s="9"/>
      <c r="K29" s="138"/>
      <c r="L29" s="9"/>
      <c r="M29" s="3"/>
      <c r="N29" s="76"/>
      <c r="Q29" s="13"/>
    </row>
    <row r="30" spans="1:19" s="1" customFormat="1">
      <c r="A30" s="5"/>
      <c r="B30" s="5"/>
      <c r="C30" s="5"/>
      <c r="E30" s="133"/>
      <c r="F30" s="58" t="s">
        <v>10</v>
      </c>
      <c r="G30" s="5"/>
      <c r="H30" s="77">
        <f>E1-I26+O26+G34</f>
        <v>61730230</v>
      </c>
      <c r="I30" s="291"/>
      <c r="J30" s="138"/>
      <c r="L30" s="9"/>
      <c r="M30" s="3"/>
      <c r="Q30" s="13"/>
    </row>
    <row r="31" spans="1:19">
      <c r="A31" s="43"/>
      <c r="B31" s="43"/>
      <c r="C31" s="43"/>
      <c r="D31" s="1"/>
      <c r="E31" s="1"/>
      <c r="F31" s="1"/>
      <c r="G31" s="1"/>
      <c r="H31" s="9"/>
      <c r="I31" s="34"/>
      <c r="N31" s="394"/>
    </row>
    <row r="32" spans="1:19">
      <c r="A32" s="43"/>
      <c r="B32" s="43"/>
      <c r="C32" s="43"/>
      <c r="D32" s="1"/>
      <c r="E32" s="1"/>
      <c r="F32" s="1"/>
      <c r="G32" s="288"/>
      <c r="H32" s="9"/>
      <c r="I32" s="34"/>
      <c r="K32" s="11"/>
      <c r="L32" s="407"/>
      <c r="N32" s="394"/>
    </row>
    <row r="33" spans="3:14">
      <c r="C33" s="43"/>
      <c r="D33" s="43"/>
      <c r="E33" s="148"/>
      <c r="F33" s="148"/>
      <c r="G33" s="288"/>
      <c r="H33" s="287"/>
      <c r="K33" s="11"/>
      <c r="L33" s="401"/>
      <c r="N33" s="394"/>
    </row>
    <row r="34" spans="3:14">
      <c r="G34" s="299">
        <f>SUM(G33:G33)</f>
        <v>0</v>
      </c>
      <c r="L34" s="394"/>
    </row>
    <row r="35" spans="3:14">
      <c r="H35" s="62"/>
      <c r="I35" s="62"/>
    </row>
    <row r="36" spans="3:14">
      <c r="I36" s="34"/>
    </row>
    <row r="43" spans="3:14">
      <c r="J43" s="13" t="s">
        <v>7</v>
      </c>
    </row>
  </sheetData>
  <phoneticPr fontId="0" type="noConversion"/>
  <pageMargins left="0.75" right="0.75" top="1" bottom="1" header="0.5" footer="0.5"/>
  <pageSetup scale="82" fitToHeight="2"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theme="0" tint="-0.499984740745262"/>
  </sheetPr>
  <dimension ref="A1:V27"/>
  <sheetViews>
    <sheetView zoomScaleNormal="100" workbookViewId="0">
      <selection activeCell="H13" sqref="H13"/>
    </sheetView>
  </sheetViews>
  <sheetFormatPr defaultColWidth="10.875" defaultRowHeight="12"/>
  <cols>
    <col min="1" max="1" width="9.375" style="13" customWidth="1"/>
    <col min="2" max="2" width="7.125" style="13" bestFit="1" customWidth="1"/>
    <col min="3" max="3" width="10.125" style="13" bestFit="1" customWidth="1"/>
    <col min="4" max="4" width="10.375" style="13" customWidth="1"/>
    <col min="5" max="5" width="22.375" style="13" customWidth="1"/>
    <col min="6" max="6" width="29.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42.75" style="13" bestFit="1" customWidth="1"/>
    <col min="19" max="16384" width="10.875" style="13"/>
  </cols>
  <sheetData>
    <row r="1" spans="1:22" s="17" customFormat="1" ht="11.4">
      <c r="A1" s="16" t="s">
        <v>12</v>
      </c>
      <c r="B1" s="290"/>
      <c r="C1" s="290"/>
      <c r="E1" s="378">
        <f>ROUND(Totals!$H$8*Totals!$P$15, 0)</f>
        <v>32166524</v>
      </c>
      <c r="F1" s="18"/>
      <c r="G1" s="18"/>
      <c r="H1" s="330"/>
      <c r="I1" s="331"/>
      <c r="J1" s="283"/>
      <c r="K1" s="283"/>
      <c r="L1" s="331"/>
      <c r="M1" s="283"/>
      <c r="N1" s="330"/>
      <c r="O1" s="330"/>
      <c r="P1" s="283"/>
      <c r="R1" s="284"/>
      <c r="S1" s="5"/>
      <c r="T1" s="5"/>
      <c r="U1" s="5"/>
      <c r="V1" s="5"/>
    </row>
    <row r="2" spans="1:22" s="5" customFormat="1" ht="11.4">
      <c r="A2" s="25" t="s">
        <v>74</v>
      </c>
      <c r="B2" s="48"/>
      <c r="C2" s="48"/>
      <c r="E2" s="26"/>
      <c r="F2" s="26"/>
      <c r="G2" s="26"/>
      <c r="H2" s="46"/>
      <c r="I2" s="47"/>
      <c r="J2" s="6"/>
      <c r="K2" s="6"/>
      <c r="L2" s="47"/>
      <c r="M2" s="6"/>
      <c r="N2" s="46"/>
      <c r="O2" s="46"/>
      <c r="P2" s="6"/>
      <c r="R2" s="285"/>
    </row>
    <row r="3" spans="1:22">
      <c r="A3" s="137"/>
      <c r="H3" s="44"/>
      <c r="I3" s="45"/>
      <c r="J3" s="11"/>
      <c r="K3" s="11"/>
      <c r="L3" s="45"/>
      <c r="M3" s="11"/>
      <c r="N3" s="50"/>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F7" s="36"/>
      <c r="G7" s="36"/>
      <c r="H7" s="288"/>
      <c r="I7" s="288"/>
      <c r="J7" s="11"/>
      <c r="K7" s="11"/>
      <c r="L7" s="288"/>
      <c r="M7" s="11"/>
      <c r="N7" s="288"/>
      <c r="O7" s="288"/>
      <c r="P7" s="11"/>
      <c r="R7" s="467"/>
    </row>
    <row r="8" spans="1:22">
      <c r="F8" s="36"/>
      <c r="G8" s="36"/>
      <c r="H8" s="27"/>
      <c r="I8" s="27"/>
      <c r="J8" s="11"/>
      <c r="K8" s="11"/>
      <c r="L8" s="312"/>
      <c r="M8" s="11"/>
      <c r="N8" s="312"/>
      <c r="O8" s="312"/>
      <c r="P8" s="11"/>
      <c r="R8" s="43"/>
    </row>
    <row r="9" spans="1:22">
      <c r="A9" s="43"/>
      <c r="B9" s="43"/>
      <c r="C9" s="43"/>
      <c r="D9" s="43"/>
      <c r="E9" s="1"/>
      <c r="F9" s="13" t="s">
        <v>19</v>
      </c>
      <c r="H9" s="262">
        <f>SUM(H7:H7)</f>
        <v>0</v>
      </c>
      <c r="I9" s="262">
        <f>SUM(I7:I7)</f>
        <v>0</v>
      </c>
      <c r="J9" s="10"/>
      <c r="K9" s="10"/>
      <c r="L9" s="262">
        <f>SUM(L7:L7)</f>
        <v>0</v>
      </c>
      <c r="M9" s="10"/>
      <c r="N9" s="262">
        <f>SUM(N7:N7)</f>
        <v>0</v>
      </c>
      <c r="O9" s="262">
        <f>SUM(O7:O7)</f>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H9-I9</f>
        <v>0</v>
      </c>
      <c r="I11" s="9"/>
      <c r="L11" s="9"/>
      <c r="P11" s="3"/>
      <c r="Q11" s="13"/>
    </row>
    <row r="12" spans="1:22" s="1" customFormat="1">
      <c r="A12" s="5"/>
      <c r="B12" s="5"/>
      <c r="C12" s="5"/>
      <c r="E12" s="5"/>
      <c r="G12" s="5"/>
      <c r="H12" s="67"/>
      <c r="I12" s="9"/>
      <c r="K12" s="138"/>
      <c r="L12" s="9"/>
      <c r="N12" s="76"/>
      <c r="Q12" s="13"/>
    </row>
    <row r="13" spans="1:22" s="1" customFormat="1">
      <c r="A13" s="5"/>
      <c r="B13" s="5"/>
      <c r="C13" s="5"/>
      <c r="E13" s="133"/>
      <c r="F13" s="58" t="s">
        <v>10</v>
      </c>
      <c r="G13" s="5"/>
      <c r="H13" s="77">
        <f>E1-I9+O9+G17</f>
        <v>32166524</v>
      </c>
      <c r="I13" s="291"/>
      <c r="J13" s="138"/>
      <c r="L13" s="9"/>
      <c r="M13" s="138"/>
      <c r="N13" s="2"/>
      <c r="Q13" s="13"/>
    </row>
    <row r="14" spans="1:22" s="1" customFormat="1">
      <c r="A14" s="5"/>
      <c r="B14" s="5"/>
      <c r="C14" s="5"/>
      <c r="E14" s="133"/>
      <c r="F14" s="58"/>
      <c r="G14" s="5"/>
      <c r="H14" s="124"/>
      <c r="I14" s="291"/>
      <c r="J14" s="138"/>
      <c r="L14" s="9"/>
      <c r="M14" s="138"/>
      <c r="N14" s="2"/>
      <c r="Q14" s="13"/>
    </row>
    <row r="15" spans="1:22">
      <c r="H15" s="65"/>
      <c r="N15" s="41"/>
    </row>
    <row r="16" spans="1:22">
      <c r="F16" s="5"/>
      <c r="H16" s="66"/>
    </row>
    <row r="17" spans="7:8">
      <c r="G17" s="299">
        <f>SUM(G15:G16)</f>
        <v>0</v>
      </c>
      <c r="H17" s="66"/>
    </row>
    <row r="18" spans="7:8">
      <c r="H18" s="66"/>
    </row>
    <row r="19" spans="7:8">
      <c r="H19" s="65"/>
    </row>
    <row r="20" spans="7:8">
      <c r="H20" s="65"/>
    </row>
    <row r="21" spans="7:8">
      <c r="H21" s="65"/>
    </row>
    <row r="22" spans="7:8">
      <c r="H22" s="65"/>
    </row>
    <row r="23" spans="7:8">
      <c r="H23" s="65"/>
    </row>
    <row r="24" spans="7:8">
      <c r="H24" s="65"/>
    </row>
    <row r="25" spans="7:8">
      <c r="H25" s="65"/>
    </row>
    <row r="26" spans="7:8">
      <c r="H26" s="65"/>
    </row>
    <row r="27" spans="7:8">
      <c r="H27" s="65"/>
    </row>
  </sheetData>
  <pageMargins left="0.75" right="0.75" top="1" bottom="1" header="0.5" footer="0.5"/>
  <pageSetup scale="72"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0" tint="-0.499984740745262"/>
  </sheetPr>
  <dimension ref="A1:V28"/>
  <sheetViews>
    <sheetView zoomScaleNormal="100" workbookViewId="0">
      <selection activeCell="H15" sqref="H15"/>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6.75" style="13" customWidth="1"/>
    <col min="6" max="6" width="26.6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37.75" style="13" customWidth="1"/>
    <col min="19" max="19" width="12.625" style="13" bestFit="1" customWidth="1"/>
    <col min="20" max="16384" width="10.875" style="13"/>
  </cols>
  <sheetData>
    <row r="1" spans="1:22" s="17" customFormat="1" ht="11.4">
      <c r="A1" s="16" t="s">
        <v>12</v>
      </c>
      <c r="B1" s="290"/>
      <c r="C1" s="290"/>
      <c r="E1" s="378">
        <f>ROUND(Totals!$H$8*Totals!$P$16, 0)</f>
        <v>68488667</v>
      </c>
      <c r="F1" s="18"/>
      <c r="G1" s="18"/>
      <c r="H1" s="330"/>
      <c r="I1" s="331"/>
      <c r="J1" s="283"/>
      <c r="K1" s="283"/>
      <c r="L1" s="331"/>
      <c r="M1" s="283"/>
      <c r="N1" s="330"/>
      <c r="O1" s="330"/>
      <c r="P1" s="283"/>
      <c r="R1" s="284"/>
      <c r="S1" s="5"/>
      <c r="T1" s="5"/>
      <c r="U1" s="5"/>
      <c r="V1" s="5"/>
    </row>
    <row r="2" spans="1:22" s="5" customFormat="1" ht="11.4">
      <c r="A2" s="25" t="s">
        <v>26</v>
      </c>
      <c r="B2" s="48"/>
      <c r="C2" s="48"/>
      <c r="E2" s="26"/>
      <c r="F2" s="26"/>
      <c r="G2" s="26"/>
      <c r="H2" s="46"/>
      <c r="I2" s="47"/>
      <c r="J2" s="6"/>
      <c r="K2" s="6"/>
      <c r="L2" s="47"/>
      <c r="M2" s="6"/>
      <c r="N2" s="46"/>
      <c r="O2" s="46"/>
      <c r="P2" s="6"/>
      <c r="R2" s="285"/>
    </row>
    <row r="3" spans="1:22">
      <c r="A3" s="137"/>
      <c r="H3" s="44"/>
      <c r="I3" s="45"/>
      <c r="J3" s="11"/>
      <c r="K3" s="11"/>
      <c r="L3" s="45"/>
      <c r="M3" s="11"/>
      <c r="N3" s="50"/>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A7" s="13" t="s">
        <v>146</v>
      </c>
      <c r="B7" s="13" t="s">
        <v>146</v>
      </c>
      <c r="C7" s="13">
        <v>5319</v>
      </c>
      <c r="D7" s="13" t="s">
        <v>390</v>
      </c>
      <c r="E7" s="13" t="s">
        <v>656</v>
      </c>
      <c r="F7" s="36" t="s">
        <v>599</v>
      </c>
      <c r="G7" s="36" t="s">
        <v>81</v>
      </c>
      <c r="H7" s="420">
        <v>40000000</v>
      </c>
      <c r="I7" s="288">
        <f>H7</f>
        <v>40000000</v>
      </c>
      <c r="J7" s="11">
        <v>44223</v>
      </c>
      <c r="K7" s="11">
        <f>J7+35</f>
        <v>44258</v>
      </c>
      <c r="L7" s="288">
        <v>33000000</v>
      </c>
      <c r="M7" s="11">
        <f>J7+180</f>
        <v>44403</v>
      </c>
      <c r="N7" s="288">
        <v>0</v>
      </c>
      <c r="O7" s="288">
        <f>I7-N7</f>
        <v>40000000</v>
      </c>
      <c r="P7" s="11">
        <v>44348</v>
      </c>
      <c r="Q7" s="13" t="s">
        <v>272</v>
      </c>
      <c r="R7" s="93"/>
    </row>
    <row r="8" spans="1:22">
      <c r="F8" s="36"/>
      <c r="G8" s="36"/>
      <c r="H8" s="288"/>
      <c r="I8" s="288"/>
      <c r="J8" s="11"/>
      <c r="K8" s="11"/>
      <c r="L8" s="288"/>
      <c r="M8" s="11"/>
      <c r="N8" s="288"/>
      <c r="O8" s="288"/>
      <c r="P8" s="11"/>
      <c r="R8" s="93"/>
    </row>
    <row r="9" spans="1:22">
      <c r="F9" s="36"/>
      <c r="G9" s="36"/>
      <c r="H9" s="288"/>
      <c r="I9" s="288"/>
      <c r="J9" s="11"/>
      <c r="K9" s="11"/>
      <c r="L9" s="288"/>
      <c r="M9" s="11"/>
      <c r="N9" s="288"/>
      <c r="O9" s="288"/>
      <c r="P9" s="11"/>
      <c r="R9" s="93"/>
    </row>
    <row r="10" spans="1:22">
      <c r="F10" s="36"/>
      <c r="G10" s="36"/>
      <c r="H10" s="27"/>
      <c r="I10" s="27"/>
      <c r="J10" s="11"/>
      <c r="K10" s="11"/>
      <c r="L10" s="312"/>
      <c r="M10" s="11"/>
      <c r="N10" s="312"/>
      <c r="O10" s="312"/>
      <c r="P10" s="11"/>
      <c r="R10" s="43"/>
    </row>
    <row r="11" spans="1:22">
      <c r="A11" s="43"/>
      <c r="B11" s="43"/>
      <c r="C11" s="43"/>
      <c r="D11" s="43"/>
      <c r="E11" s="1"/>
      <c r="F11" s="13" t="s">
        <v>19</v>
      </c>
      <c r="H11" s="262">
        <f>SUM(H7:H10)</f>
        <v>40000000</v>
      </c>
      <c r="I11" s="262">
        <f>SUM(I7:I10)</f>
        <v>40000000</v>
      </c>
      <c r="J11" s="10"/>
      <c r="K11" s="10"/>
      <c r="L11" s="262">
        <f>SUM(L7:L10)</f>
        <v>33000000</v>
      </c>
      <c r="M11" s="10"/>
      <c r="N11" s="262">
        <f>SUM(N7:N10)</f>
        <v>0</v>
      </c>
      <c r="O11" s="262">
        <f>SUM(O7:O10)</f>
        <v>40000000</v>
      </c>
    </row>
    <row r="12" spans="1:22" s="1" customFormat="1">
      <c r="A12" s="5"/>
      <c r="B12" s="5"/>
      <c r="C12" s="5"/>
      <c r="D12" s="88"/>
      <c r="F12" s="13"/>
      <c r="H12" s="76"/>
      <c r="J12" s="11"/>
      <c r="K12" s="11"/>
      <c r="L12" s="9"/>
      <c r="M12" s="6"/>
      <c r="Q12" s="13"/>
    </row>
    <row r="13" spans="1:22" s="1" customFormat="1">
      <c r="A13" s="5"/>
      <c r="B13" s="5"/>
      <c r="C13" s="5"/>
      <c r="E13" s="5"/>
      <c r="F13" s="13" t="s">
        <v>43</v>
      </c>
      <c r="G13" s="5"/>
      <c r="H13" s="34">
        <f>H11-I11</f>
        <v>0</v>
      </c>
      <c r="I13" s="9"/>
      <c r="L13" s="83"/>
      <c r="M13" s="3"/>
      <c r="Q13" s="13"/>
    </row>
    <row r="14" spans="1:22" s="1" customFormat="1">
      <c r="A14" s="5"/>
      <c r="B14" s="5"/>
      <c r="C14" s="5"/>
      <c r="E14" s="5"/>
      <c r="G14" s="5"/>
      <c r="H14" s="67"/>
      <c r="I14" s="9"/>
      <c r="K14" s="138"/>
      <c r="L14" s="9"/>
      <c r="M14" s="3"/>
      <c r="N14" s="76"/>
      <c r="Q14" s="13"/>
    </row>
    <row r="15" spans="1:22" s="1" customFormat="1">
      <c r="A15" s="5"/>
      <c r="B15" s="5"/>
      <c r="C15" s="5"/>
      <c r="E15" s="133"/>
      <c r="F15" s="58" t="s">
        <v>75</v>
      </c>
      <c r="G15" s="5"/>
      <c r="H15" s="77">
        <f>E1-I11+O11+G18</f>
        <v>68488667</v>
      </c>
      <c r="I15" s="291"/>
      <c r="J15" s="138"/>
      <c r="L15" s="9"/>
      <c r="M15" s="138"/>
      <c r="Q15" s="13"/>
    </row>
    <row r="16" spans="1:22">
      <c r="H16" s="65"/>
    </row>
    <row r="17" spans="7:8">
      <c r="G17" s="10"/>
      <c r="H17" s="209"/>
    </row>
    <row r="18" spans="7:8">
      <c r="G18" s="349">
        <f>SUM(G17)</f>
        <v>0</v>
      </c>
      <c r="H18" s="66"/>
    </row>
    <row r="19" spans="7:8">
      <c r="H19" s="66"/>
    </row>
    <row r="20" spans="7:8">
      <c r="H20" s="65"/>
    </row>
    <row r="21" spans="7:8">
      <c r="H21" s="65"/>
    </row>
    <row r="22" spans="7:8">
      <c r="H22" s="65"/>
    </row>
    <row r="23" spans="7:8">
      <c r="H23" s="65"/>
    </row>
    <row r="24" spans="7:8">
      <c r="H24" s="65"/>
    </row>
    <row r="25" spans="7:8">
      <c r="H25" s="65"/>
    </row>
    <row r="26" spans="7:8">
      <c r="H26" s="65"/>
    </row>
    <row r="27" spans="7:8">
      <c r="H27" s="65"/>
    </row>
    <row r="28" spans="7:8">
      <c r="H28" s="65"/>
    </row>
  </sheetData>
  <phoneticPr fontId="0" type="noConversion"/>
  <pageMargins left="0.75" right="0.75" top="1" bottom="1" header="0.5" footer="0.5"/>
  <pageSetup scale="72"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0" tint="-0.499984740745262"/>
    <pageSetUpPr fitToPage="1"/>
  </sheetPr>
  <dimension ref="A1:V16"/>
  <sheetViews>
    <sheetView zoomScaleNormal="100" workbookViewId="0">
      <selection activeCell="H13" sqref="H13"/>
    </sheetView>
  </sheetViews>
  <sheetFormatPr defaultColWidth="10.875" defaultRowHeight="12"/>
  <cols>
    <col min="1" max="1" width="9.75" style="13" customWidth="1"/>
    <col min="2" max="2" width="7.125" style="13" bestFit="1" customWidth="1"/>
    <col min="3" max="3" width="10.125" style="13" bestFit="1" customWidth="1"/>
    <col min="4" max="4" width="8.625" style="13" bestFit="1" customWidth="1"/>
    <col min="5" max="5" width="26.375" style="13" customWidth="1"/>
    <col min="6" max="6" width="33.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90"/>
      <c r="C1" s="290"/>
      <c r="E1" s="378">
        <f>ROUND(Totals!$H$8*Totals!$P$17, 0)</f>
        <v>19898908</v>
      </c>
      <c r="F1" s="18"/>
      <c r="G1" s="18"/>
      <c r="H1" s="330"/>
      <c r="I1" s="331"/>
      <c r="J1" s="283"/>
      <c r="K1" s="283"/>
      <c r="L1" s="331"/>
      <c r="M1" s="283"/>
      <c r="N1" s="330"/>
      <c r="O1" s="330"/>
      <c r="P1" s="283"/>
      <c r="R1" s="284"/>
      <c r="S1" s="5"/>
      <c r="T1" s="5"/>
      <c r="U1" s="5"/>
      <c r="V1" s="5"/>
    </row>
    <row r="2" spans="1:22" s="5" customFormat="1" ht="11.4">
      <c r="A2" s="25" t="s">
        <v>41</v>
      </c>
      <c r="B2" s="48"/>
      <c r="C2" s="48"/>
      <c r="E2" s="26"/>
      <c r="F2" s="26"/>
      <c r="G2" s="26"/>
      <c r="H2" s="46"/>
      <c r="I2" s="47"/>
      <c r="J2" s="6"/>
      <c r="K2" s="6"/>
      <c r="L2" s="47"/>
      <c r="M2" s="6"/>
      <c r="N2" s="46"/>
      <c r="O2" s="46"/>
      <c r="P2" s="6"/>
      <c r="R2" s="285"/>
    </row>
    <row r="3" spans="1:22">
      <c r="A3" s="137"/>
      <c r="H3" s="44"/>
      <c r="I3" s="45"/>
      <c r="J3" s="11"/>
      <c r="K3" s="11"/>
      <c r="L3" s="45"/>
      <c r="M3" s="11"/>
      <c r="N3" s="44"/>
      <c r="O3" s="44"/>
      <c r="P3" s="11"/>
      <c r="Q3" s="1"/>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F7" s="36"/>
      <c r="G7" s="36"/>
      <c r="H7" s="288"/>
      <c r="I7" s="288"/>
      <c r="J7" s="11"/>
      <c r="K7" s="11"/>
      <c r="L7" s="312"/>
      <c r="M7" s="11"/>
      <c r="N7" s="288"/>
      <c r="O7" s="288"/>
      <c r="P7" s="11"/>
      <c r="R7" s="43"/>
    </row>
    <row r="8" spans="1:22">
      <c r="F8" s="36"/>
      <c r="G8" s="36"/>
      <c r="H8" s="288"/>
      <c r="I8" s="288"/>
      <c r="J8" s="11"/>
      <c r="K8" s="11"/>
      <c r="L8" s="312"/>
      <c r="M8" s="11"/>
      <c r="N8" s="288"/>
      <c r="O8" s="288"/>
      <c r="P8" s="11"/>
      <c r="R8" s="43"/>
    </row>
    <row r="9" spans="1:22">
      <c r="A9" s="43"/>
      <c r="B9" s="43"/>
      <c r="C9" s="43"/>
      <c r="D9" s="43"/>
      <c r="E9" s="1"/>
      <c r="F9" s="13" t="s">
        <v>19</v>
      </c>
      <c r="H9" s="262">
        <f>SUM(H7:H8)</f>
        <v>0</v>
      </c>
      <c r="I9" s="262">
        <f>SUM(I7:I8)</f>
        <v>0</v>
      </c>
      <c r="J9" s="10"/>
      <c r="K9" s="10"/>
      <c r="L9" s="262">
        <f>SUM(L7:L8)</f>
        <v>0</v>
      </c>
      <c r="M9" s="10"/>
      <c r="N9" s="262">
        <f t="shared" ref="N9:O9" si="0">SUM(N7:N8)</f>
        <v>0</v>
      </c>
      <c r="O9" s="262">
        <f t="shared" si="0"/>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H9-I9</f>
        <v>0</v>
      </c>
      <c r="I11" s="9"/>
      <c r="L11" s="9"/>
      <c r="M11" s="3"/>
      <c r="Q11" s="13"/>
    </row>
    <row r="12" spans="1:22" s="1" customFormat="1">
      <c r="A12" s="5"/>
      <c r="B12" s="5"/>
      <c r="C12" s="5"/>
      <c r="E12" s="5"/>
      <c r="G12" s="5"/>
      <c r="H12" s="67"/>
      <c r="I12" s="9"/>
      <c r="K12" s="138"/>
      <c r="L12" s="9"/>
      <c r="M12" s="3"/>
      <c r="N12" s="76"/>
      <c r="Q12" s="13"/>
    </row>
    <row r="13" spans="1:22" s="1" customFormat="1">
      <c r="A13" s="5"/>
      <c r="B13" s="5"/>
      <c r="C13" s="5"/>
      <c r="E13" s="133"/>
      <c r="F13" s="58" t="s">
        <v>75</v>
      </c>
      <c r="G13" s="5"/>
      <c r="H13" s="77">
        <f>E1-I9+O9+G16</f>
        <v>19898908</v>
      </c>
      <c r="I13" s="291"/>
      <c r="J13" s="138"/>
      <c r="L13" s="9"/>
      <c r="M13" s="138"/>
      <c r="Q13" s="13"/>
    </row>
    <row r="14" spans="1:22">
      <c r="H14" s="65"/>
      <c r="N14" s="51"/>
    </row>
    <row r="15" spans="1:22">
      <c r="G15" s="10"/>
      <c r="H15" s="66"/>
      <c r="N15" s="51"/>
    </row>
    <row r="16" spans="1:22">
      <c r="G16" s="349">
        <f>SUM(G15)</f>
        <v>0</v>
      </c>
      <c r="H16" s="66"/>
      <c r="N16" s="51"/>
    </row>
  </sheetData>
  <phoneticPr fontId="0" type="noConversion"/>
  <pageMargins left="0.75" right="0.75" top="1" bottom="1" header="0.5" footer="0.5"/>
  <pageSetup scale="50"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642D0-1824-42F3-94DA-B32DCF44B0A3}">
  <dimension ref="A1:T82"/>
  <sheetViews>
    <sheetView workbookViewId="0">
      <selection activeCell="F22" sqref="F22"/>
    </sheetView>
  </sheetViews>
  <sheetFormatPr defaultRowHeight="11.4"/>
  <cols>
    <col min="1" max="1" width="22.125" bestFit="1" customWidth="1"/>
    <col min="2" max="2" width="13.25" customWidth="1"/>
    <col min="3" max="3" width="40" bestFit="1" customWidth="1"/>
    <col min="4" max="4" width="37.125" bestFit="1" customWidth="1"/>
    <col min="5" max="5" width="12.125" bestFit="1" customWidth="1"/>
    <col min="6" max="7" width="15.75" bestFit="1" customWidth="1"/>
    <col min="8" max="8" width="15.25" bestFit="1" customWidth="1"/>
    <col min="9" max="9" width="11.875" bestFit="1" customWidth="1"/>
    <col min="10" max="10" width="15.75" bestFit="1" customWidth="1"/>
    <col min="11" max="11" width="11.875" bestFit="1" customWidth="1"/>
    <col min="12" max="12" width="17.625" bestFit="1" customWidth="1"/>
    <col min="13" max="13" width="21.625" bestFit="1" customWidth="1"/>
    <col min="14" max="14" width="11" bestFit="1" customWidth="1"/>
    <col min="15" max="15" width="12.75" bestFit="1" customWidth="1"/>
    <col min="16" max="16" width="8.75" bestFit="1" customWidth="1"/>
    <col min="17" max="17" width="14.25" bestFit="1" customWidth="1"/>
    <col min="18" max="18" width="9.125" customWidth="1"/>
    <col min="20" max="20" width="26.75" bestFit="1" customWidth="1"/>
  </cols>
  <sheetData>
    <row r="1" spans="1:20" ht="13.2">
      <c r="A1" s="159"/>
      <c r="B1" s="159" t="s">
        <v>445</v>
      </c>
      <c r="C1" s="160"/>
      <c r="D1" s="161"/>
      <c r="E1" s="163"/>
      <c r="F1" s="173"/>
      <c r="G1" s="173"/>
      <c r="H1" s="174"/>
      <c r="I1" s="174"/>
      <c r="J1" s="175"/>
      <c r="K1" s="174"/>
      <c r="L1" s="173"/>
      <c r="M1" s="174"/>
      <c r="N1" s="366"/>
      <c r="O1" s="366"/>
      <c r="P1" s="366"/>
      <c r="Q1" s="271"/>
      <c r="T1" s="339" t="s">
        <v>89</v>
      </c>
    </row>
    <row r="2" spans="1:20" ht="13.2">
      <c r="A2" s="153" t="s">
        <v>32</v>
      </c>
      <c r="B2" s="272" t="s">
        <v>37</v>
      </c>
      <c r="C2" s="273" t="s">
        <v>31</v>
      </c>
      <c r="D2" s="274" t="s">
        <v>49</v>
      </c>
      <c r="E2" s="274" t="s">
        <v>45</v>
      </c>
      <c r="F2" s="176" t="s">
        <v>84</v>
      </c>
      <c r="G2" s="176" t="s">
        <v>85</v>
      </c>
      <c r="H2" s="275" t="s">
        <v>96</v>
      </c>
      <c r="I2" s="275" t="s">
        <v>86</v>
      </c>
      <c r="J2" s="177" t="s">
        <v>87</v>
      </c>
      <c r="K2" s="275"/>
      <c r="L2" s="176" t="s">
        <v>88</v>
      </c>
      <c r="M2" s="276" t="s">
        <v>89</v>
      </c>
      <c r="N2" s="367" t="s">
        <v>22</v>
      </c>
      <c r="O2" s="369" t="s">
        <v>172</v>
      </c>
      <c r="P2" s="369" t="s">
        <v>252</v>
      </c>
      <c r="Q2" s="370" t="s">
        <v>254</v>
      </c>
      <c r="T2" s="340" t="s">
        <v>90</v>
      </c>
    </row>
    <row r="3" spans="1:20" ht="13.2">
      <c r="A3" s="153" t="s">
        <v>48</v>
      </c>
      <c r="B3" s="278"/>
      <c r="C3" s="273"/>
      <c r="D3" s="274"/>
      <c r="E3" s="274"/>
      <c r="F3" s="176" t="s">
        <v>55</v>
      </c>
      <c r="G3" s="176" t="s">
        <v>55</v>
      </c>
      <c r="H3" s="275" t="s">
        <v>9</v>
      </c>
      <c r="I3" s="275" t="s">
        <v>18</v>
      </c>
      <c r="J3" s="177" t="s">
        <v>55</v>
      </c>
      <c r="K3" s="275" t="s">
        <v>18</v>
      </c>
      <c r="L3" s="176" t="s">
        <v>55</v>
      </c>
      <c r="M3" s="276" t="s">
        <v>90</v>
      </c>
      <c r="N3" s="367" t="s">
        <v>5</v>
      </c>
      <c r="O3" s="369" t="s">
        <v>171</v>
      </c>
      <c r="P3" s="369" t="s">
        <v>253</v>
      </c>
      <c r="Q3" s="370" t="s">
        <v>255</v>
      </c>
      <c r="T3" s="340" t="s">
        <v>237</v>
      </c>
    </row>
    <row r="4" spans="1:20" ht="13.8" thickBot="1">
      <c r="A4" s="154" t="s">
        <v>17</v>
      </c>
      <c r="B4" s="155"/>
      <c r="C4" s="156"/>
      <c r="D4" s="157"/>
      <c r="E4" s="157"/>
      <c r="F4" s="178"/>
      <c r="G4" s="178"/>
      <c r="H4" s="179"/>
      <c r="I4" s="179"/>
      <c r="J4" s="180"/>
      <c r="K4" s="179"/>
      <c r="L4" s="178"/>
      <c r="M4" s="178"/>
      <c r="N4" s="368" t="s">
        <v>9</v>
      </c>
      <c r="O4" s="368"/>
      <c r="P4" s="368"/>
      <c r="Q4" s="371" t="s">
        <v>9</v>
      </c>
      <c r="T4" s="341" t="s">
        <v>856</v>
      </c>
    </row>
    <row r="5" spans="1:20">
      <c r="A5" s="31" t="s">
        <v>259</v>
      </c>
    </row>
    <row r="6" spans="1:20">
      <c r="A6" s="31"/>
      <c r="H6" s="199"/>
      <c r="K6" s="199"/>
    </row>
    <row r="7" spans="1:20" ht="12.75" customHeight="1">
      <c r="A7" s="31" t="s">
        <v>149</v>
      </c>
      <c r="H7" s="199"/>
      <c r="K7" s="199"/>
    </row>
    <row r="8" spans="1:20" s="1" customFormat="1" ht="12">
      <c r="A8" s="137" t="s">
        <v>620</v>
      </c>
      <c r="B8" s="1" t="s">
        <v>43</v>
      </c>
      <c r="C8" s="1" t="s">
        <v>221</v>
      </c>
      <c r="D8" s="1" t="s">
        <v>622</v>
      </c>
      <c r="E8" s="1" t="s">
        <v>79</v>
      </c>
      <c r="F8" s="9">
        <v>50000000</v>
      </c>
      <c r="G8" s="9"/>
      <c r="H8" s="3"/>
      <c r="I8" s="3"/>
      <c r="J8" s="9"/>
      <c r="L8" s="9"/>
      <c r="M8" s="9"/>
      <c r="O8" s="13">
        <v>3</v>
      </c>
      <c r="P8" s="13">
        <v>240</v>
      </c>
      <c r="Q8" s="11">
        <v>44197</v>
      </c>
    </row>
    <row r="9" spans="1:20" s="1" customFormat="1" ht="12">
      <c r="A9" s="137" t="s">
        <v>621</v>
      </c>
      <c r="B9" s="1" t="s">
        <v>43</v>
      </c>
      <c r="C9" s="1" t="s">
        <v>153</v>
      </c>
      <c r="D9" s="1" t="s">
        <v>428</v>
      </c>
      <c r="E9" s="1" t="s">
        <v>81</v>
      </c>
      <c r="F9" s="9">
        <v>50000000</v>
      </c>
      <c r="G9" s="9"/>
      <c r="H9" s="3"/>
      <c r="I9" s="3"/>
      <c r="J9" s="9"/>
      <c r="L9" s="9"/>
      <c r="M9" s="9"/>
      <c r="O9" s="13">
        <v>3</v>
      </c>
      <c r="P9" s="13">
        <v>348</v>
      </c>
      <c r="Q9" s="11">
        <v>44197</v>
      </c>
    </row>
    <row r="10" spans="1:20" s="1" customFormat="1" ht="12">
      <c r="A10" s="137" t="s">
        <v>741</v>
      </c>
      <c r="B10" s="1" t="s">
        <v>43</v>
      </c>
      <c r="C10" s="1" t="s">
        <v>573</v>
      </c>
      <c r="D10" s="1" t="s">
        <v>611</v>
      </c>
      <c r="E10" s="1" t="s">
        <v>95</v>
      </c>
      <c r="F10" s="9">
        <v>63000000</v>
      </c>
      <c r="G10" s="9"/>
      <c r="H10" s="3"/>
      <c r="I10" s="3"/>
      <c r="J10" s="9"/>
      <c r="L10" s="9"/>
      <c r="M10" s="9"/>
      <c r="O10" s="13">
        <v>3</v>
      </c>
      <c r="P10" s="13">
        <v>194</v>
      </c>
      <c r="Q10" s="11">
        <v>44355</v>
      </c>
    </row>
    <row r="11" spans="1:20" s="1" customFormat="1" ht="12">
      <c r="A11" s="137" t="s">
        <v>753</v>
      </c>
      <c r="B11" s="1" t="s">
        <v>43</v>
      </c>
      <c r="C11" s="1" t="s">
        <v>221</v>
      </c>
      <c r="D11" s="1" t="s">
        <v>400</v>
      </c>
      <c r="E11" s="1" t="s">
        <v>79</v>
      </c>
      <c r="F11" s="9">
        <v>50000000</v>
      </c>
      <c r="G11" s="9"/>
      <c r="H11" s="3"/>
      <c r="I11" s="3"/>
      <c r="J11" s="9"/>
      <c r="L11" s="9"/>
      <c r="M11" s="9"/>
      <c r="O11" s="13">
        <v>3</v>
      </c>
      <c r="P11" s="13">
        <v>199</v>
      </c>
      <c r="Q11" s="11">
        <v>44372</v>
      </c>
    </row>
    <row r="12" spans="1:20" s="1" customFormat="1" ht="12">
      <c r="A12" s="137" t="s">
        <v>817</v>
      </c>
      <c r="B12" s="1" t="s">
        <v>43</v>
      </c>
      <c r="C12" s="1" t="s">
        <v>623</v>
      </c>
      <c r="D12" s="1" t="s">
        <v>816</v>
      </c>
      <c r="E12" s="1" t="s">
        <v>81</v>
      </c>
      <c r="F12" s="9">
        <v>50000000</v>
      </c>
      <c r="G12" s="9"/>
      <c r="H12" s="3"/>
      <c r="I12" s="3"/>
      <c r="J12" s="9"/>
      <c r="L12" s="9"/>
      <c r="M12" s="9"/>
      <c r="O12" s="13">
        <v>3</v>
      </c>
      <c r="P12" s="13">
        <v>300</v>
      </c>
      <c r="Q12" s="11">
        <v>44425</v>
      </c>
    </row>
    <row r="13" spans="1:20" s="1" customFormat="1" ht="12">
      <c r="A13" s="137" t="s">
        <v>824</v>
      </c>
      <c r="B13" s="1" t="s">
        <v>43</v>
      </c>
      <c r="C13" s="1" t="s">
        <v>656</v>
      </c>
      <c r="D13" s="1" t="s">
        <v>825</v>
      </c>
      <c r="E13" s="1" t="s">
        <v>81</v>
      </c>
      <c r="F13" s="9">
        <v>2000000</v>
      </c>
      <c r="G13" s="9"/>
      <c r="H13" s="3"/>
      <c r="I13" s="3"/>
      <c r="J13" s="9"/>
      <c r="L13" s="9"/>
      <c r="M13" s="9"/>
      <c r="O13" s="13">
        <v>3</v>
      </c>
      <c r="P13" s="13">
        <v>212</v>
      </c>
      <c r="Q13" s="11">
        <v>44434</v>
      </c>
    </row>
    <row r="14" spans="1:20" s="1" customFormat="1" ht="12">
      <c r="A14" s="137" t="s">
        <v>834</v>
      </c>
      <c r="B14" s="1" t="s">
        <v>43</v>
      </c>
      <c r="C14" s="1" t="s">
        <v>656</v>
      </c>
      <c r="D14" s="1" t="s">
        <v>835</v>
      </c>
      <c r="E14" s="1" t="s">
        <v>81</v>
      </c>
      <c r="F14" s="9">
        <v>45000000</v>
      </c>
      <c r="G14" s="9"/>
      <c r="H14" s="3"/>
      <c r="I14" s="3"/>
      <c r="J14" s="9"/>
      <c r="L14" s="9"/>
      <c r="M14" s="9"/>
      <c r="O14" s="13">
        <v>3</v>
      </c>
      <c r="P14" s="13">
        <v>228</v>
      </c>
      <c r="Q14" s="11">
        <v>44476</v>
      </c>
    </row>
    <row r="15" spans="1:20" s="1" customFormat="1" ht="12">
      <c r="A15" s="137" t="s">
        <v>863</v>
      </c>
      <c r="B15" s="1" t="s">
        <v>43</v>
      </c>
      <c r="C15" s="1" t="s">
        <v>278</v>
      </c>
      <c r="D15" s="1" t="s">
        <v>864</v>
      </c>
      <c r="E15" s="1" t="s">
        <v>79</v>
      </c>
      <c r="F15" s="9">
        <v>30000000</v>
      </c>
      <c r="G15" s="9"/>
      <c r="H15" s="3"/>
      <c r="I15" s="3"/>
      <c r="J15" s="9"/>
      <c r="L15" s="9"/>
      <c r="M15" s="9"/>
      <c r="O15" s="13">
        <v>3</v>
      </c>
      <c r="P15" s="13">
        <v>104</v>
      </c>
      <c r="Q15" s="11">
        <v>44520</v>
      </c>
    </row>
    <row r="16" spans="1:20" s="1" customFormat="1" ht="12">
      <c r="A16" s="137"/>
      <c r="F16" s="9"/>
      <c r="G16" s="9"/>
      <c r="H16" s="3"/>
      <c r="I16" s="3"/>
      <c r="J16" s="9"/>
      <c r="L16" s="9"/>
      <c r="M16" s="9"/>
    </row>
    <row r="17" spans="1:20" ht="12">
      <c r="A17" s="31" t="s">
        <v>91</v>
      </c>
      <c r="D17" s="1"/>
      <c r="H17" s="199"/>
    </row>
    <row r="18" spans="1:20" ht="12">
      <c r="A18" s="137"/>
      <c r="B18" s="1"/>
      <c r="C18" s="1"/>
      <c r="D18" s="1"/>
      <c r="E18" s="1"/>
      <c r="F18" s="9"/>
      <c r="H18" s="199"/>
      <c r="K18" s="199"/>
    </row>
    <row r="19" spans="1:20" ht="12">
      <c r="F19" s="193">
        <f>SUM(F6:F18)</f>
        <v>340000000</v>
      </c>
      <c r="G19" s="193">
        <f>SUM(G6:G18)</f>
        <v>0</v>
      </c>
      <c r="H19" s="133"/>
      <c r="I19" s="152"/>
      <c r="J19" s="193">
        <f>SUM(J6:J18)</f>
        <v>0</v>
      </c>
      <c r="K19" s="133"/>
      <c r="L19" s="193">
        <f>SUM(L6:L18)</f>
        <v>0</v>
      </c>
      <c r="M19" s="193">
        <f>SUM(M6:M18)</f>
        <v>0</v>
      </c>
    </row>
    <row r="20" spans="1:20">
      <c r="H20" s="199"/>
      <c r="I20" s="199"/>
    </row>
    <row r="21" spans="1:20" ht="12" thickBot="1">
      <c r="G21" s="197"/>
      <c r="H21" s="199"/>
      <c r="I21" s="199"/>
    </row>
    <row r="22" spans="1:20" ht="12.6" thickBot="1">
      <c r="D22" s="195" t="s">
        <v>154</v>
      </c>
      <c r="E22" s="196"/>
      <c r="F22" s="198">
        <f>'Aug 15'!H37</f>
        <v>57333474</v>
      </c>
      <c r="H22" s="421"/>
      <c r="I22" s="199"/>
      <c r="T22" s="327"/>
    </row>
    <row r="23" spans="1:20">
      <c r="F23" s="192"/>
      <c r="H23" s="199"/>
      <c r="I23" s="199"/>
    </row>
    <row r="24" spans="1:20" ht="12" thickBot="1">
      <c r="F24" s="197"/>
    </row>
    <row r="25" spans="1:20" ht="13.2">
      <c r="A25" s="159"/>
      <c r="B25" s="159" t="s">
        <v>446</v>
      </c>
      <c r="C25" s="131"/>
      <c r="D25" s="131"/>
      <c r="E25" s="131"/>
      <c r="F25" s="181"/>
      <c r="G25" s="181"/>
      <c r="H25" s="181"/>
      <c r="I25" s="181"/>
      <c r="J25" s="181"/>
      <c r="K25" s="181"/>
      <c r="L25" s="181"/>
      <c r="M25" s="181"/>
      <c r="N25" s="280"/>
    </row>
    <row r="26" spans="1:20" ht="13.2">
      <c r="A26" s="153" t="s">
        <v>32</v>
      </c>
      <c r="B26" s="272" t="s">
        <v>37</v>
      </c>
      <c r="C26" s="273" t="s">
        <v>31</v>
      </c>
      <c r="D26" s="281" t="s">
        <v>49</v>
      </c>
      <c r="E26" s="281"/>
      <c r="F26" s="176" t="s">
        <v>84</v>
      </c>
      <c r="G26" s="176" t="s">
        <v>258</v>
      </c>
      <c r="H26" s="275" t="s">
        <v>258</v>
      </c>
      <c r="I26" s="275"/>
      <c r="J26" s="177"/>
      <c r="K26" s="275"/>
      <c r="L26" s="176" t="s">
        <v>88</v>
      </c>
      <c r="M26" s="276" t="s">
        <v>89</v>
      </c>
      <c r="N26" s="372" t="s">
        <v>22</v>
      </c>
    </row>
    <row r="27" spans="1:20" ht="13.2">
      <c r="A27" s="153" t="s">
        <v>48</v>
      </c>
      <c r="B27" s="278"/>
      <c r="C27" s="273"/>
      <c r="D27" s="281"/>
      <c r="E27" s="281"/>
      <c r="F27" s="176" t="s">
        <v>55</v>
      </c>
      <c r="G27" s="176" t="s">
        <v>55</v>
      </c>
      <c r="H27" s="275" t="s">
        <v>9</v>
      </c>
      <c r="I27" s="275"/>
      <c r="J27" s="177"/>
      <c r="K27" s="275" t="s">
        <v>18</v>
      </c>
      <c r="L27" s="176" t="s">
        <v>55</v>
      </c>
      <c r="M27" s="276" t="s">
        <v>90</v>
      </c>
      <c r="N27" s="372" t="s">
        <v>5</v>
      </c>
    </row>
    <row r="28" spans="1:20" ht="13.8" thickBot="1">
      <c r="A28" s="154" t="s">
        <v>17</v>
      </c>
      <c r="B28" s="155"/>
      <c r="C28" s="156"/>
      <c r="D28" s="158"/>
      <c r="E28" s="158"/>
      <c r="F28" s="178"/>
      <c r="G28" s="178"/>
      <c r="H28" s="179"/>
      <c r="I28" s="179"/>
      <c r="J28" s="182"/>
      <c r="K28" s="179"/>
      <c r="L28" s="178"/>
      <c r="M28" s="178"/>
      <c r="N28" s="373" t="s">
        <v>9</v>
      </c>
    </row>
    <row r="29" spans="1:20" s="1" customFormat="1" ht="12">
      <c r="A29" s="137"/>
      <c r="F29" s="9"/>
      <c r="G29" s="9"/>
      <c r="H29" s="3"/>
      <c r="J29" s="9"/>
      <c r="L29" s="9"/>
      <c r="M29" s="9"/>
      <c r="O29" s="13"/>
      <c r="P29" s="13"/>
      <c r="Q29" s="11"/>
    </row>
    <row r="30" spans="1:20" s="1" customFormat="1" ht="12">
      <c r="A30" s="137" t="s">
        <v>858</v>
      </c>
      <c r="B30" s="1" t="s">
        <v>43</v>
      </c>
      <c r="C30" s="1" t="s">
        <v>150</v>
      </c>
      <c r="D30" s="1" t="s">
        <v>857</v>
      </c>
      <c r="E30" s="1" t="s">
        <v>152</v>
      </c>
      <c r="F30" s="9">
        <v>500000000</v>
      </c>
      <c r="G30" s="9"/>
      <c r="H30" s="3"/>
      <c r="J30" s="9"/>
      <c r="L30" s="9"/>
      <c r="M30" s="9"/>
      <c r="O30" s="13"/>
      <c r="P30" s="13"/>
      <c r="Q30" s="11"/>
    </row>
    <row r="31" spans="1:20" ht="12" thickBot="1"/>
    <row r="32" spans="1:20" ht="12.6" thickBot="1">
      <c r="D32" s="195" t="s">
        <v>257</v>
      </c>
      <c r="E32" s="196"/>
      <c r="F32" s="198">
        <v>0</v>
      </c>
    </row>
    <row r="33" spans="1:20">
      <c r="F33" s="326"/>
    </row>
    <row r="34" spans="1:20" ht="12" thickBot="1"/>
    <row r="35" spans="1:20" ht="12" customHeight="1">
      <c r="A35" s="159"/>
      <c r="B35" s="159" t="s">
        <v>447</v>
      </c>
      <c r="C35" s="131"/>
      <c r="D35" s="131"/>
      <c r="E35" s="131"/>
      <c r="F35" s="181"/>
      <c r="G35" s="181"/>
      <c r="H35" s="181"/>
      <c r="I35" s="181"/>
      <c r="J35" s="181"/>
      <c r="K35" s="181"/>
      <c r="L35" s="181"/>
      <c r="M35" s="181"/>
      <c r="N35" s="280"/>
    </row>
    <row r="36" spans="1:20" ht="13.2">
      <c r="A36" s="153" t="s">
        <v>32</v>
      </c>
      <c r="B36" s="272" t="s">
        <v>37</v>
      </c>
      <c r="C36" s="273" t="s">
        <v>31</v>
      </c>
      <c r="D36" s="281" t="s">
        <v>49</v>
      </c>
      <c r="E36" s="281" t="s">
        <v>45</v>
      </c>
      <c r="F36" s="176" t="s">
        <v>84</v>
      </c>
      <c r="G36" s="176" t="s">
        <v>54</v>
      </c>
      <c r="H36" s="275"/>
      <c r="I36" s="275" t="s">
        <v>34</v>
      </c>
      <c r="J36" s="177" t="s">
        <v>87</v>
      </c>
      <c r="K36" s="275"/>
      <c r="L36" s="176" t="s">
        <v>92</v>
      </c>
      <c r="M36" s="276" t="s">
        <v>89</v>
      </c>
      <c r="N36" s="277" t="s">
        <v>22</v>
      </c>
    </row>
    <row r="37" spans="1:20" ht="13.2">
      <c r="A37" s="153" t="s">
        <v>48</v>
      </c>
      <c r="B37" s="278"/>
      <c r="C37" s="273"/>
      <c r="D37" s="281"/>
      <c r="E37" s="281"/>
      <c r="F37" s="176" t="s">
        <v>55</v>
      </c>
      <c r="G37" s="176" t="s">
        <v>55</v>
      </c>
      <c r="H37" s="275" t="s">
        <v>9</v>
      </c>
      <c r="I37" s="275" t="s">
        <v>18</v>
      </c>
      <c r="J37" s="177" t="s">
        <v>55</v>
      </c>
      <c r="K37" s="275" t="s">
        <v>18</v>
      </c>
      <c r="L37" s="176" t="s">
        <v>55</v>
      </c>
      <c r="M37" s="276" t="s">
        <v>90</v>
      </c>
      <c r="N37" s="277" t="s">
        <v>5</v>
      </c>
    </row>
    <row r="38" spans="1:20" ht="13.8" thickBot="1">
      <c r="A38" s="154" t="s">
        <v>17</v>
      </c>
      <c r="B38" s="155"/>
      <c r="C38" s="156"/>
      <c r="D38" s="158"/>
      <c r="E38" s="158"/>
      <c r="F38" s="178"/>
      <c r="G38" s="178"/>
      <c r="H38" s="179"/>
      <c r="I38" s="179"/>
      <c r="J38" s="182"/>
      <c r="K38" s="179"/>
      <c r="L38" s="178"/>
      <c r="M38" s="183" t="s">
        <v>93</v>
      </c>
      <c r="N38" s="279" t="s">
        <v>9</v>
      </c>
    </row>
    <row r="39" spans="1:20">
      <c r="A39" s="162" t="s">
        <v>56</v>
      </c>
    </row>
    <row r="40" spans="1:20" s="186" customFormat="1" ht="12">
      <c r="A40" s="5">
        <v>5405</v>
      </c>
      <c r="B40" s="5" t="s">
        <v>77</v>
      </c>
      <c r="C40" s="5" t="s">
        <v>150</v>
      </c>
      <c r="D40" s="26" t="s">
        <v>300</v>
      </c>
      <c r="E40" s="26" t="s">
        <v>152</v>
      </c>
      <c r="F40" s="347">
        <v>131186809</v>
      </c>
      <c r="G40" s="124">
        <v>131186809</v>
      </c>
      <c r="H40" s="7">
        <v>44413</v>
      </c>
      <c r="I40" s="184">
        <v>44448</v>
      </c>
      <c r="J40" s="124">
        <v>131186809</v>
      </c>
      <c r="K40" s="184">
        <v>44623</v>
      </c>
      <c r="L40" s="32">
        <v>0</v>
      </c>
      <c r="M40" s="124">
        <f>J40-L40</f>
        <v>131186809</v>
      </c>
      <c r="N40" s="184">
        <v>44541</v>
      </c>
      <c r="T40" s="62">
        <f>M40</f>
        <v>131186809</v>
      </c>
    </row>
    <row r="41" spans="1:20" s="186" customFormat="1" ht="12">
      <c r="A41" s="5">
        <v>5409</v>
      </c>
      <c r="B41" s="5" t="s">
        <v>77</v>
      </c>
      <c r="C41" s="5" t="s">
        <v>772</v>
      </c>
      <c r="D41" s="26" t="s">
        <v>248</v>
      </c>
      <c r="E41" s="26" t="s">
        <v>773</v>
      </c>
      <c r="F41" s="347">
        <v>30000000</v>
      </c>
      <c r="G41" s="124">
        <v>30000000</v>
      </c>
      <c r="H41" s="7">
        <v>44413</v>
      </c>
      <c r="I41" s="184">
        <v>44448</v>
      </c>
      <c r="J41" s="124">
        <v>30000000</v>
      </c>
      <c r="K41" s="184">
        <v>44623</v>
      </c>
      <c r="L41" s="32">
        <v>0</v>
      </c>
      <c r="M41" s="124">
        <f>J41-L41</f>
        <v>30000000</v>
      </c>
      <c r="N41" s="184">
        <v>44544</v>
      </c>
      <c r="O41" s="473" t="s">
        <v>869</v>
      </c>
      <c r="T41" s="62">
        <v>0</v>
      </c>
    </row>
    <row r="42" spans="1:20" s="186" customFormat="1" ht="12">
      <c r="A42" s="5">
        <v>5411</v>
      </c>
      <c r="B42" s="5" t="s">
        <v>77</v>
      </c>
      <c r="C42" s="5" t="s">
        <v>150</v>
      </c>
      <c r="D42" s="26" t="s">
        <v>300</v>
      </c>
      <c r="E42" s="26" t="s">
        <v>152</v>
      </c>
      <c r="F42" s="347">
        <v>350000000</v>
      </c>
      <c r="G42" s="124">
        <v>350000000</v>
      </c>
      <c r="H42" s="7">
        <v>44418</v>
      </c>
      <c r="I42" s="184">
        <v>44453</v>
      </c>
      <c r="J42" s="124">
        <v>350000000</v>
      </c>
      <c r="K42" s="184">
        <v>44628</v>
      </c>
      <c r="L42" s="32">
        <v>0</v>
      </c>
      <c r="M42" s="124">
        <f>J42-L42</f>
        <v>350000000</v>
      </c>
      <c r="N42" s="184">
        <v>44541</v>
      </c>
      <c r="T42" s="62">
        <f>M42</f>
        <v>350000000</v>
      </c>
    </row>
    <row r="43" spans="1:20" s="186" customFormat="1" ht="12">
      <c r="A43" s="5">
        <v>5449</v>
      </c>
      <c r="B43" s="5" t="s">
        <v>77</v>
      </c>
      <c r="C43" s="5" t="s">
        <v>797</v>
      </c>
      <c r="D43" s="26" t="s">
        <v>300</v>
      </c>
      <c r="E43" s="26" t="s">
        <v>798</v>
      </c>
      <c r="F43" s="347">
        <v>25000000</v>
      </c>
      <c r="G43" s="124">
        <v>25000000</v>
      </c>
      <c r="H43" s="7">
        <v>44481</v>
      </c>
      <c r="I43" s="184">
        <v>44516</v>
      </c>
      <c r="J43" s="124">
        <v>25000000</v>
      </c>
      <c r="K43" s="184">
        <v>44691</v>
      </c>
      <c r="L43" s="32">
        <v>0</v>
      </c>
      <c r="M43" s="124">
        <f>J43-L43</f>
        <v>25000000</v>
      </c>
      <c r="N43" s="184">
        <v>44530</v>
      </c>
      <c r="T43" s="62">
        <f>M43</f>
        <v>25000000</v>
      </c>
    </row>
    <row r="44" spans="1:20" s="186" customFormat="1" ht="12">
      <c r="A44" s="5">
        <v>5454</v>
      </c>
      <c r="B44" s="5" t="s">
        <v>77</v>
      </c>
      <c r="C44" s="5" t="s">
        <v>150</v>
      </c>
      <c r="D44" s="26" t="s">
        <v>300</v>
      </c>
      <c r="E44" s="26" t="s">
        <v>152</v>
      </c>
      <c r="F44" s="347">
        <v>69287675.25</v>
      </c>
      <c r="G44" s="124">
        <v>69287675.25</v>
      </c>
      <c r="H44" s="7">
        <v>44512</v>
      </c>
      <c r="I44" s="184">
        <v>44547</v>
      </c>
      <c r="J44" s="124">
        <v>69287675.25</v>
      </c>
      <c r="K44" s="184">
        <v>44722</v>
      </c>
      <c r="L44" s="32">
        <v>0</v>
      </c>
      <c r="M44" s="124">
        <f>J44</f>
        <v>69287675.25</v>
      </c>
      <c r="N44" s="184">
        <v>44541</v>
      </c>
      <c r="T44" s="62">
        <f>M44</f>
        <v>69287675.25</v>
      </c>
    </row>
    <row r="45" spans="1:20" s="186" customFormat="1" ht="12">
      <c r="A45" s="5"/>
      <c r="B45" s="5"/>
      <c r="C45" s="5"/>
      <c r="D45" s="26"/>
      <c r="E45" s="26"/>
      <c r="F45" s="347"/>
      <c r="G45" s="124"/>
      <c r="H45" s="7"/>
      <c r="I45" s="184"/>
      <c r="J45" s="124"/>
      <c r="K45" s="184"/>
      <c r="L45" s="32"/>
      <c r="M45" s="124"/>
      <c r="N45" s="184"/>
      <c r="T45" s="62"/>
    </row>
    <row r="46" spans="1:20" ht="12">
      <c r="F46" s="185"/>
      <c r="G46" s="185"/>
      <c r="H46" s="185"/>
      <c r="I46" s="185"/>
      <c r="J46" s="193">
        <f>SUM(J40:J44)</f>
        <v>605474484.25</v>
      </c>
      <c r="K46" s="411"/>
      <c r="L46" s="193">
        <f t="shared" ref="L46:M46" si="0">SUM(L40:L44)</f>
        <v>0</v>
      </c>
      <c r="M46" s="193">
        <f t="shared" si="0"/>
        <v>605474484.25</v>
      </c>
      <c r="N46" s="152"/>
      <c r="T46" s="327">
        <f>SUM(T39:T45)</f>
        <v>575474484.25</v>
      </c>
    </row>
    <row r="47" spans="1:20" ht="12.6" thickBot="1">
      <c r="F47" s="185"/>
      <c r="G47" s="185"/>
      <c r="H47" s="185"/>
      <c r="I47" s="185"/>
      <c r="J47" s="185"/>
      <c r="K47" s="185"/>
      <c r="N47" s="152"/>
    </row>
    <row r="48" spans="1:20" ht="12">
      <c r="A48" s="169" t="s">
        <v>94</v>
      </c>
      <c r="F48" s="185"/>
      <c r="G48" s="188"/>
      <c r="H48" s="152"/>
      <c r="I48" s="185"/>
      <c r="J48" s="185"/>
      <c r="K48" s="289"/>
      <c r="N48" s="152"/>
    </row>
    <row r="49" spans="1:20" s="186" customFormat="1" ht="12">
      <c r="A49" s="5">
        <v>5387</v>
      </c>
      <c r="B49" s="5" t="s">
        <v>77</v>
      </c>
      <c r="C49" s="5" t="s">
        <v>746</v>
      </c>
      <c r="D49" s="26" t="s">
        <v>747</v>
      </c>
      <c r="E49" s="26" t="s">
        <v>748</v>
      </c>
      <c r="F49" s="347">
        <v>35000000</v>
      </c>
      <c r="G49" s="124">
        <v>35000000</v>
      </c>
      <c r="H49" s="7">
        <v>44390</v>
      </c>
      <c r="I49" s="184">
        <v>44425</v>
      </c>
      <c r="J49" s="124">
        <v>35000000</v>
      </c>
      <c r="K49" s="184">
        <v>44570</v>
      </c>
      <c r="L49" s="32">
        <v>0</v>
      </c>
      <c r="M49" s="124">
        <f>J49-L49</f>
        <v>35000000</v>
      </c>
      <c r="N49" s="184">
        <v>44544</v>
      </c>
      <c r="T49" s="62">
        <f>M49</f>
        <v>35000000</v>
      </c>
    </row>
    <row r="50" spans="1:20" s="186" customFormat="1" ht="12">
      <c r="A50" s="5">
        <v>5388</v>
      </c>
      <c r="B50" s="5" t="s">
        <v>77</v>
      </c>
      <c r="C50" s="5" t="s">
        <v>153</v>
      </c>
      <c r="D50" s="26" t="s">
        <v>595</v>
      </c>
      <c r="E50" s="26" t="s">
        <v>81</v>
      </c>
      <c r="F50" s="347">
        <v>50000000</v>
      </c>
      <c r="G50" s="124">
        <v>50000000</v>
      </c>
      <c r="H50" s="7">
        <v>44401</v>
      </c>
      <c r="I50" s="184">
        <v>44436</v>
      </c>
      <c r="J50" s="124">
        <v>50000000</v>
      </c>
      <c r="K50" s="184">
        <v>44581</v>
      </c>
      <c r="L50" s="32">
        <v>0</v>
      </c>
      <c r="M50" s="124">
        <f t="shared" ref="M50:M65" si="1">J50-L50</f>
        <v>50000000</v>
      </c>
      <c r="N50" s="184">
        <v>44541</v>
      </c>
      <c r="T50" s="62">
        <f>M50</f>
        <v>50000000</v>
      </c>
    </row>
    <row r="51" spans="1:20" s="186" customFormat="1" ht="12">
      <c r="A51" s="5">
        <v>5390</v>
      </c>
      <c r="B51" s="5" t="s">
        <v>77</v>
      </c>
      <c r="C51" s="5" t="s">
        <v>568</v>
      </c>
      <c r="D51" s="26" t="s">
        <v>569</v>
      </c>
      <c r="E51" s="26" t="s">
        <v>570</v>
      </c>
      <c r="F51" s="347">
        <v>13500000</v>
      </c>
      <c r="G51" s="124">
        <v>13500000</v>
      </c>
      <c r="H51" s="7">
        <v>44401</v>
      </c>
      <c r="I51" s="184">
        <v>44436</v>
      </c>
      <c r="J51" s="124">
        <v>13500000</v>
      </c>
      <c r="K51" s="184">
        <v>44581</v>
      </c>
      <c r="L51" s="32">
        <v>0</v>
      </c>
      <c r="M51" s="124">
        <f>J51-L51</f>
        <v>13500000</v>
      </c>
      <c r="N51" s="184">
        <v>44544</v>
      </c>
      <c r="T51" s="62">
        <f>M51</f>
        <v>13500000</v>
      </c>
    </row>
    <row r="52" spans="1:20" s="186" customFormat="1" ht="12">
      <c r="A52" s="5">
        <v>5394</v>
      </c>
      <c r="B52" s="5" t="s">
        <v>77</v>
      </c>
      <c r="C52" s="5" t="s">
        <v>268</v>
      </c>
      <c r="D52" s="26" t="s">
        <v>418</v>
      </c>
      <c r="E52" s="26" t="s">
        <v>419</v>
      </c>
      <c r="F52" s="347">
        <v>22500000</v>
      </c>
      <c r="G52" s="124">
        <v>22500000</v>
      </c>
      <c r="H52" s="7">
        <v>44404</v>
      </c>
      <c r="I52" s="184">
        <v>44439</v>
      </c>
      <c r="J52" s="124">
        <v>22500000</v>
      </c>
      <c r="K52" s="184">
        <v>44584</v>
      </c>
      <c r="L52" s="32">
        <v>0</v>
      </c>
      <c r="M52" s="124">
        <f>J52-L52</f>
        <v>22500000</v>
      </c>
      <c r="N52" s="184">
        <v>44544</v>
      </c>
      <c r="T52" s="62">
        <f>M52</f>
        <v>22500000</v>
      </c>
    </row>
    <row r="53" spans="1:20" s="186" customFormat="1" ht="12">
      <c r="A53" s="5">
        <v>5395</v>
      </c>
      <c r="B53" s="5" t="s">
        <v>77</v>
      </c>
      <c r="C53" s="5" t="s">
        <v>266</v>
      </c>
      <c r="D53" s="26" t="s">
        <v>705</v>
      </c>
      <c r="E53" s="26" t="s">
        <v>78</v>
      </c>
      <c r="F53" s="347">
        <v>38000000</v>
      </c>
      <c r="G53" s="124">
        <v>38000000</v>
      </c>
      <c r="H53" s="7">
        <v>44404</v>
      </c>
      <c r="I53" s="184">
        <v>44439</v>
      </c>
      <c r="J53" s="124">
        <v>38000000</v>
      </c>
      <c r="K53" s="184">
        <v>44584</v>
      </c>
      <c r="L53" s="32">
        <v>0</v>
      </c>
      <c r="M53" s="124">
        <f>J53-L53</f>
        <v>38000000</v>
      </c>
      <c r="N53" s="184">
        <v>44544</v>
      </c>
      <c r="T53" s="62">
        <f>M53</f>
        <v>38000000</v>
      </c>
    </row>
    <row r="54" spans="1:20" s="186" customFormat="1" ht="12">
      <c r="A54" s="5">
        <v>5412</v>
      </c>
      <c r="B54" s="5" t="s">
        <v>77</v>
      </c>
      <c r="C54" s="5" t="s">
        <v>150</v>
      </c>
      <c r="D54" s="26" t="s">
        <v>612</v>
      </c>
      <c r="E54" s="26" t="s">
        <v>79</v>
      </c>
      <c r="F54" s="347">
        <v>16500000</v>
      </c>
      <c r="G54" s="124">
        <v>16500000</v>
      </c>
      <c r="H54" s="7">
        <v>44418</v>
      </c>
      <c r="I54" s="184">
        <v>44453</v>
      </c>
      <c r="J54" s="124">
        <v>16500000</v>
      </c>
      <c r="K54" s="184">
        <v>44598</v>
      </c>
      <c r="L54" s="32">
        <v>0</v>
      </c>
      <c r="M54" s="124">
        <f t="shared" si="1"/>
        <v>16500000</v>
      </c>
      <c r="N54" s="184">
        <v>44541</v>
      </c>
      <c r="T54" s="62">
        <f t="shared" ref="T54:T57" si="2">M54</f>
        <v>16500000</v>
      </c>
    </row>
    <row r="55" spans="1:20" s="186" customFormat="1" ht="12">
      <c r="A55" s="5">
        <v>5413</v>
      </c>
      <c r="B55" s="5" t="s">
        <v>77</v>
      </c>
      <c r="C55" s="5" t="s">
        <v>314</v>
      </c>
      <c r="D55" s="26" t="s">
        <v>577</v>
      </c>
      <c r="E55" s="26" t="s">
        <v>80</v>
      </c>
      <c r="F55" s="347">
        <v>30000000</v>
      </c>
      <c r="G55" s="124">
        <v>30000000</v>
      </c>
      <c r="H55" s="7">
        <v>44418</v>
      </c>
      <c r="I55" s="184">
        <v>44453</v>
      </c>
      <c r="J55" s="124">
        <v>30000000</v>
      </c>
      <c r="K55" s="184">
        <v>44598</v>
      </c>
      <c r="L55" s="32">
        <v>0</v>
      </c>
      <c r="M55" s="124">
        <f t="shared" si="1"/>
        <v>30000000</v>
      </c>
      <c r="N55" s="184">
        <v>44539</v>
      </c>
      <c r="T55" s="62">
        <f t="shared" si="2"/>
        <v>30000000</v>
      </c>
    </row>
    <row r="56" spans="1:20" s="186" customFormat="1" ht="12">
      <c r="A56" s="5">
        <v>5416</v>
      </c>
      <c r="B56" s="5" t="s">
        <v>77</v>
      </c>
      <c r="C56" s="5" t="s">
        <v>314</v>
      </c>
      <c r="D56" s="26" t="s">
        <v>605</v>
      </c>
      <c r="E56" s="26" t="s">
        <v>80</v>
      </c>
      <c r="F56" s="347">
        <v>30000000</v>
      </c>
      <c r="G56" s="124">
        <v>30000000</v>
      </c>
      <c r="H56" s="7">
        <v>44418</v>
      </c>
      <c r="I56" s="184">
        <v>44453</v>
      </c>
      <c r="J56" s="124">
        <v>30000000</v>
      </c>
      <c r="K56" s="184">
        <v>44598</v>
      </c>
      <c r="L56" s="32">
        <v>0</v>
      </c>
      <c r="M56" s="124">
        <f t="shared" si="1"/>
        <v>30000000</v>
      </c>
      <c r="N56" s="184">
        <v>44539</v>
      </c>
      <c r="T56" s="62">
        <f t="shared" si="2"/>
        <v>30000000</v>
      </c>
    </row>
    <row r="57" spans="1:20" s="186" customFormat="1" ht="12">
      <c r="A57" s="5">
        <v>5420</v>
      </c>
      <c r="B57" s="5" t="s">
        <v>77</v>
      </c>
      <c r="C57" s="5" t="s">
        <v>468</v>
      </c>
      <c r="D57" s="26" t="s">
        <v>469</v>
      </c>
      <c r="E57" s="26" t="s">
        <v>470</v>
      </c>
      <c r="F57" s="347">
        <v>30000000</v>
      </c>
      <c r="G57" s="124">
        <v>30000000</v>
      </c>
      <c r="H57" s="7">
        <v>44420</v>
      </c>
      <c r="I57" s="184">
        <v>44455</v>
      </c>
      <c r="J57" s="124">
        <v>30000000</v>
      </c>
      <c r="K57" s="184">
        <v>44600</v>
      </c>
      <c r="L57" s="32">
        <v>0</v>
      </c>
      <c r="M57" s="124">
        <f t="shared" si="1"/>
        <v>30000000</v>
      </c>
      <c r="N57" s="184">
        <v>44541</v>
      </c>
      <c r="T57" s="62">
        <f t="shared" si="2"/>
        <v>30000000</v>
      </c>
    </row>
    <row r="58" spans="1:20" s="186" customFormat="1" ht="12">
      <c r="A58" s="5">
        <v>5421</v>
      </c>
      <c r="B58" s="5" t="s">
        <v>77</v>
      </c>
      <c r="C58" s="5" t="s">
        <v>742</v>
      </c>
      <c r="D58" s="26" t="s">
        <v>743</v>
      </c>
      <c r="E58" s="26" t="s">
        <v>744</v>
      </c>
      <c r="F58" s="347">
        <v>35000000</v>
      </c>
      <c r="G58" s="124">
        <v>35000000</v>
      </c>
      <c r="H58" s="7">
        <v>44420</v>
      </c>
      <c r="I58" s="184">
        <v>44455</v>
      </c>
      <c r="J58" s="124">
        <v>35000000</v>
      </c>
      <c r="K58" s="184">
        <v>44600</v>
      </c>
      <c r="L58" s="32">
        <v>0</v>
      </c>
      <c r="M58" s="124">
        <f t="shared" si="1"/>
        <v>35000000</v>
      </c>
      <c r="N58" s="184">
        <v>44530</v>
      </c>
      <c r="T58" s="62">
        <f>M58</f>
        <v>35000000</v>
      </c>
    </row>
    <row r="59" spans="1:20" s="186" customFormat="1" ht="12">
      <c r="A59" s="5">
        <v>5422</v>
      </c>
      <c r="B59" s="5" t="s">
        <v>77</v>
      </c>
      <c r="C59" s="5" t="s">
        <v>265</v>
      </c>
      <c r="D59" s="26" t="s">
        <v>745</v>
      </c>
      <c r="E59" s="26" t="s">
        <v>211</v>
      </c>
      <c r="F59" s="347">
        <v>22000000</v>
      </c>
      <c r="G59" s="124">
        <v>22000000</v>
      </c>
      <c r="H59" s="7">
        <v>44420</v>
      </c>
      <c r="I59" s="184">
        <v>44455</v>
      </c>
      <c r="J59" s="124">
        <v>22000000</v>
      </c>
      <c r="K59" s="184">
        <v>44600</v>
      </c>
      <c r="L59" s="32">
        <v>0</v>
      </c>
      <c r="M59" s="124">
        <f t="shared" ref="M59" si="3">J59-L59</f>
        <v>22000000</v>
      </c>
      <c r="N59" s="184">
        <v>44544</v>
      </c>
      <c r="T59" s="62">
        <f>M59</f>
        <v>22000000</v>
      </c>
    </row>
    <row r="60" spans="1:20" s="186" customFormat="1" ht="12">
      <c r="A60" s="5">
        <v>5424</v>
      </c>
      <c r="B60" s="5" t="s">
        <v>77</v>
      </c>
      <c r="C60" s="5" t="s">
        <v>635</v>
      </c>
      <c r="D60" s="26" t="s">
        <v>790</v>
      </c>
      <c r="E60" s="26" t="s">
        <v>78</v>
      </c>
      <c r="F60" s="347">
        <v>69152737</v>
      </c>
      <c r="G60" s="124">
        <v>69152737</v>
      </c>
      <c r="H60" s="7">
        <v>44421</v>
      </c>
      <c r="I60" s="184">
        <v>44456</v>
      </c>
      <c r="J60" s="124">
        <v>69152737</v>
      </c>
      <c r="K60" s="184">
        <v>44601</v>
      </c>
      <c r="L60" s="32">
        <v>0</v>
      </c>
      <c r="M60" s="124">
        <f t="shared" si="1"/>
        <v>69152737</v>
      </c>
      <c r="N60" s="184">
        <v>44530</v>
      </c>
      <c r="O60" s="473" t="s">
        <v>865</v>
      </c>
      <c r="T60" s="62">
        <f>M60-6400000</f>
        <v>62752737</v>
      </c>
    </row>
    <row r="61" spans="1:20" s="186" customFormat="1" ht="12">
      <c r="A61" s="5">
        <v>5434</v>
      </c>
      <c r="B61" s="5" t="s">
        <v>77</v>
      </c>
      <c r="C61" s="5" t="s">
        <v>158</v>
      </c>
      <c r="D61" s="26" t="s">
        <v>554</v>
      </c>
      <c r="E61" s="26" t="s">
        <v>224</v>
      </c>
      <c r="F61" s="347">
        <v>20000000</v>
      </c>
      <c r="G61" s="124">
        <v>20000000</v>
      </c>
      <c r="H61" s="7">
        <v>44421</v>
      </c>
      <c r="I61" s="184">
        <v>44456</v>
      </c>
      <c r="J61" s="124">
        <v>20000000</v>
      </c>
      <c r="K61" s="184">
        <v>44601</v>
      </c>
      <c r="L61" s="32">
        <v>0</v>
      </c>
      <c r="M61" s="124">
        <f t="shared" si="1"/>
        <v>20000000</v>
      </c>
      <c r="N61" s="184">
        <v>44544</v>
      </c>
      <c r="O61" s="473" t="s">
        <v>870</v>
      </c>
      <c r="T61" s="62">
        <f>M61-15000000</f>
        <v>5000000</v>
      </c>
    </row>
    <row r="62" spans="1:20" s="186" customFormat="1" ht="12">
      <c r="A62" s="5">
        <v>5435</v>
      </c>
      <c r="B62" s="5" t="s">
        <v>77</v>
      </c>
      <c r="C62" s="5" t="s">
        <v>158</v>
      </c>
      <c r="D62" s="26" t="s">
        <v>795</v>
      </c>
      <c r="E62" s="26" t="s">
        <v>559</v>
      </c>
      <c r="F62" s="347">
        <v>12000000</v>
      </c>
      <c r="G62" s="124">
        <v>12000000</v>
      </c>
      <c r="H62" s="7">
        <v>44421</v>
      </c>
      <c r="I62" s="184">
        <v>44456</v>
      </c>
      <c r="J62" s="124">
        <v>12000000</v>
      </c>
      <c r="K62" s="184">
        <v>44601</v>
      </c>
      <c r="L62" s="32">
        <v>0</v>
      </c>
      <c r="M62" s="124">
        <f t="shared" si="1"/>
        <v>12000000</v>
      </c>
      <c r="N62" s="184">
        <v>44544</v>
      </c>
      <c r="O62" s="473"/>
      <c r="T62" s="62">
        <f>M62</f>
        <v>12000000</v>
      </c>
    </row>
    <row r="63" spans="1:20" s="186" customFormat="1" ht="12">
      <c r="A63" s="5">
        <v>5437</v>
      </c>
      <c r="B63" s="5" t="s">
        <v>77</v>
      </c>
      <c r="C63" s="5" t="s">
        <v>487</v>
      </c>
      <c r="D63" s="26" t="s">
        <v>490</v>
      </c>
      <c r="E63" s="26" t="s">
        <v>489</v>
      </c>
      <c r="F63" s="347">
        <v>18000000</v>
      </c>
      <c r="G63" s="124">
        <v>18000000</v>
      </c>
      <c r="H63" s="7">
        <v>44428</v>
      </c>
      <c r="I63" s="184">
        <v>44463</v>
      </c>
      <c r="J63" s="124">
        <v>18000000</v>
      </c>
      <c r="K63" s="184">
        <v>44608</v>
      </c>
      <c r="L63" s="32">
        <v>0</v>
      </c>
      <c r="M63" s="124">
        <f t="shared" si="1"/>
        <v>18000000</v>
      </c>
      <c r="N63" s="184">
        <v>44516</v>
      </c>
      <c r="T63" s="62">
        <f>M63</f>
        <v>18000000</v>
      </c>
    </row>
    <row r="64" spans="1:20" s="186" customFormat="1" ht="12">
      <c r="A64" s="5">
        <v>5441</v>
      </c>
      <c r="B64" s="5" t="s">
        <v>77</v>
      </c>
      <c r="C64" s="5" t="s">
        <v>267</v>
      </c>
      <c r="D64" s="26" t="s">
        <v>778</v>
      </c>
      <c r="E64" s="26" t="s">
        <v>215</v>
      </c>
      <c r="F64" s="347">
        <v>60000000</v>
      </c>
      <c r="G64" s="124">
        <v>60000000</v>
      </c>
      <c r="H64" s="7">
        <v>44429</v>
      </c>
      <c r="I64" s="184">
        <v>44464</v>
      </c>
      <c r="J64" s="124">
        <v>60000000</v>
      </c>
      <c r="K64" s="184">
        <v>44609</v>
      </c>
      <c r="L64" s="32">
        <v>0</v>
      </c>
      <c r="M64" s="124">
        <f t="shared" si="1"/>
        <v>60000000</v>
      </c>
      <c r="N64" s="184">
        <v>44544</v>
      </c>
      <c r="T64" s="62">
        <f>M64</f>
        <v>60000000</v>
      </c>
    </row>
    <row r="65" spans="1:20" s="186" customFormat="1" ht="12">
      <c r="A65" s="5">
        <v>5444</v>
      </c>
      <c r="B65" s="5" t="s">
        <v>77</v>
      </c>
      <c r="C65" s="5" t="s">
        <v>266</v>
      </c>
      <c r="D65" s="26" t="s">
        <v>482</v>
      </c>
      <c r="E65" s="26" t="s">
        <v>78</v>
      </c>
      <c r="F65" s="350">
        <v>40000000</v>
      </c>
      <c r="G65" s="124">
        <v>40000000</v>
      </c>
      <c r="H65" s="7">
        <v>44429</v>
      </c>
      <c r="I65" s="184">
        <v>44464</v>
      </c>
      <c r="J65" s="124">
        <v>40000000</v>
      </c>
      <c r="K65" s="184">
        <v>44609</v>
      </c>
      <c r="L65" s="32">
        <v>0</v>
      </c>
      <c r="M65" s="124">
        <f t="shared" si="1"/>
        <v>40000000</v>
      </c>
      <c r="N65" s="184">
        <v>44544</v>
      </c>
      <c r="T65" s="62">
        <f>M65</f>
        <v>40000000</v>
      </c>
    </row>
    <row r="66" spans="1:20" s="186" customFormat="1" ht="12">
      <c r="A66" s="5"/>
      <c r="B66" s="5"/>
      <c r="C66" s="5"/>
      <c r="D66" s="26"/>
      <c r="E66" s="26"/>
      <c r="F66" s="347"/>
      <c r="G66" s="124"/>
      <c r="H66" s="7"/>
      <c r="I66" s="184"/>
      <c r="J66" s="124"/>
      <c r="K66" s="184"/>
      <c r="L66" s="32"/>
      <c r="M66" s="124"/>
      <c r="N66" s="184"/>
      <c r="T66" s="62"/>
    </row>
    <row r="67" spans="1:20" ht="12">
      <c r="A67" s="13"/>
      <c r="B67" s="13"/>
      <c r="C67" s="13"/>
      <c r="D67" s="36"/>
      <c r="E67" s="36"/>
      <c r="F67" s="288"/>
      <c r="G67" s="71"/>
      <c r="H67" s="3"/>
      <c r="I67" s="3"/>
      <c r="J67" s="77">
        <f>SUM(J49:J65)</f>
        <v>541652737</v>
      </c>
      <c r="K67" s="7"/>
      <c r="L67" s="77">
        <f>SUM(L49:L65)</f>
        <v>0</v>
      </c>
      <c r="M67" s="77">
        <f>SUM(M49:M65)</f>
        <v>541652737</v>
      </c>
      <c r="N67" s="152"/>
      <c r="T67" s="77">
        <f>SUM(T49:T65)</f>
        <v>520252737</v>
      </c>
    </row>
    <row r="68" spans="1:20" ht="12.6" thickBot="1">
      <c r="F68" s="185"/>
      <c r="G68" s="185"/>
      <c r="H68" s="185"/>
      <c r="I68" s="185"/>
      <c r="J68" s="185"/>
      <c r="K68" s="185"/>
      <c r="N68" s="152"/>
    </row>
    <row r="69" spans="1:20" ht="12">
      <c r="A69" s="169" t="s">
        <v>60</v>
      </c>
      <c r="F69" s="185"/>
      <c r="G69" s="188"/>
      <c r="H69" s="152"/>
      <c r="I69" s="185"/>
      <c r="J69" s="185"/>
      <c r="K69" s="185"/>
      <c r="N69" s="152"/>
    </row>
    <row r="70" spans="1:20" ht="12">
      <c r="N70" s="152"/>
    </row>
    <row r="71" spans="1:20" ht="12">
      <c r="I71" s="197"/>
      <c r="J71" s="344">
        <f>SUM(J70:J70)</f>
        <v>0</v>
      </c>
      <c r="K71" s="186"/>
      <c r="L71" s="77">
        <f>SUM(L70:L70)</f>
        <v>0</v>
      </c>
      <c r="M71" s="77">
        <f>SUM(M70:M70)</f>
        <v>0</v>
      </c>
      <c r="N71" s="152"/>
      <c r="T71" s="77">
        <f>SUM(T70:T70)</f>
        <v>0</v>
      </c>
    </row>
    <row r="72" spans="1:20" ht="12">
      <c r="I72" s="197"/>
      <c r="N72" s="152"/>
    </row>
    <row r="74" spans="1:20" ht="12.6" thickBot="1">
      <c r="J74" s="345">
        <f>J19+J46+J67+J71</f>
        <v>1147127221.25</v>
      </c>
      <c r="M74" s="345">
        <f>M71+M67+M46+F22</f>
        <v>1204460695.25</v>
      </c>
      <c r="O74" s="264"/>
      <c r="P74" s="264"/>
      <c r="Q74" s="264"/>
      <c r="R74" s="264"/>
      <c r="T74" s="343">
        <f>T71+T67+T46+T22</f>
        <v>1095727221.25</v>
      </c>
    </row>
    <row r="75" spans="1:20" ht="12" thickTop="1">
      <c r="M75" s="197"/>
    </row>
    <row r="77" spans="1:20">
      <c r="H77" s="199"/>
    </row>
    <row r="78" spans="1:20" ht="12">
      <c r="A78" s="13"/>
      <c r="B78" s="13"/>
      <c r="C78" s="13"/>
      <c r="D78" s="36"/>
      <c r="E78" s="36"/>
      <c r="F78" s="420"/>
      <c r="H78" s="199"/>
    </row>
    <row r="79" spans="1:20" ht="12">
      <c r="A79" s="13"/>
      <c r="B79" s="13"/>
      <c r="C79" s="13"/>
      <c r="D79" s="36"/>
      <c r="E79" s="36"/>
      <c r="F79" s="420"/>
      <c r="G79" s="288"/>
      <c r="H79" s="11"/>
      <c r="I79" s="11"/>
      <c r="J79" s="288"/>
      <c r="K79" s="11"/>
    </row>
    <row r="80" spans="1:20">
      <c r="H80" s="199"/>
    </row>
    <row r="81" spans="8:8">
      <c r="H81" s="199"/>
    </row>
    <row r="82" spans="8:8">
      <c r="H82" s="199"/>
    </row>
  </sheetData>
  <phoneticPr fontId="3" type="noConversion"/>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theme="0" tint="-0.499984740745262"/>
  </sheetPr>
  <dimension ref="A1:V28"/>
  <sheetViews>
    <sheetView zoomScaleNormal="100" workbookViewId="0">
      <selection activeCell="H14" sqref="H14"/>
    </sheetView>
  </sheetViews>
  <sheetFormatPr defaultColWidth="10.875" defaultRowHeight="12"/>
  <cols>
    <col min="1" max="1" width="9.875" style="13" customWidth="1"/>
    <col min="2" max="2" width="7.125" style="13" bestFit="1" customWidth="1"/>
    <col min="3" max="3" width="10.125" style="13" bestFit="1" customWidth="1"/>
    <col min="4" max="4" width="13.25" style="13" bestFit="1" customWidth="1"/>
    <col min="5" max="5" width="26.875" style="13" customWidth="1"/>
    <col min="6" max="6" width="29.625" style="13" customWidth="1"/>
    <col min="7" max="7" width="15.5" style="13" bestFit="1" customWidth="1"/>
    <col min="8" max="8" width="13.875" style="12" bestFit="1" customWidth="1"/>
    <col min="9" max="9" width="12.75" style="35" customWidth="1"/>
    <col min="10" max="10" width="15.25" style="13" bestFit="1" customWidth="1"/>
    <col min="11" max="11" width="10.875" style="13" bestFit="1" customWidth="1"/>
    <col min="12" max="12" width="12.625" style="35" bestFit="1" customWidth="1"/>
    <col min="13" max="13" width="10.875" style="13" bestFit="1" customWidth="1"/>
    <col min="14" max="14" width="15.25" style="12" customWidth="1"/>
    <col min="15" max="15" width="12.25" style="12" bestFit="1" customWidth="1"/>
    <col min="16" max="16" width="10.625" style="13" bestFit="1" customWidth="1"/>
    <col min="17" max="17" width="10.25" style="13" bestFit="1" customWidth="1"/>
    <col min="18" max="18" width="34.375" style="13" customWidth="1"/>
    <col min="19" max="16384" width="10.875" style="13"/>
  </cols>
  <sheetData>
    <row r="1" spans="1:22" s="17" customFormat="1" ht="11.4">
      <c r="A1" s="16" t="s">
        <v>12</v>
      </c>
      <c r="B1" s="290"/>
      <c r="C1" s="290"/>
      <c r="E1" s="378">
        <f>ROUND(Totals!$H$8*Totals!$P$18, 0)</f>
        <v>46829688</v>
      </c>
      <c r="F1" s="18"/>
      <c r="G1" s="18"/>
      <c r="H1" s="330"/>
      <c r="I1" s="331"/>
      <c r="J1" s="283"/>
      <c r="K1" s="283"/>
      <c r="L1" s="331"/>
      <c r="M1" s="283"/>
      <c r="N1" s="330"/>
      <c r="O1" s="330"/>
      <c r="P1" s="283"/>
      <c r="R1" s="284"/>
      <c r="S1" s="5"/>
      <c r="T1" s="5"/>
      <c r="U1" s="5"/>
      <c r="V1" s="5"/>
    </row>
    <row r="2" spans="1:22" s="5" customFormat="1" ht="11.4">
      <c r="A2" s="25" t="s">
        <v>73</v>
      </c>
      <c r="B2" s="48"/>
      <c r="C2" s="48"/>
      <c r="E2" s="26"/>
      <c r="F2" s="26"/>
      <c r="G2" s="26"/>
      <c r="H2" s="46"/>
      <c r="I2" s="47"/>
      <c r="J2" s="6"/>
      <c r="K2" s="6"/>
      <c r="L2" s="47"/>
      <c r="M2" s="6"/>
      <c r="N2" s="46"/>
      <c r="O2" s="46"/>
      <c r="P2" s="6"/>
      <c r="R2" s="285"/>
    </row>
    <row r="3" spans="1:22">
      <c r="A3" s="137"/>
      <c r="H3" s="44"/>
      <c r="I3" s="45"/>
      <c r="J3" s="11"/>
      <c r="K3" s="11"/>
      <c r="L3" s="45"/>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A7" s="13" t="s">
        <v>146</v>
      </c>
      <c r="B7" s="13" t="s">
        <v>146</v>
      </c>
      <c r="C7" s="13">
        <v>5329</v>
      </c>
      <c r="D7" s="13" t="s">
        <v>697</v>
      </c>
      <c r="E7" s="13" t="s">
        <v>671</v>
      </c>
      <c r="F7" s="36" t="s">
        <v>672</v>
      </c>
      <c r="G7" s="36" t="s">
        <v>412</v>
      </c>
      <c r="H7" s="288">
        <v>35000000</v>
      </c>
      <c r="I7" s="288">
        <f>H7</f>
        <v>35000000</v>
      </c>
      <c r="J7" s="11">
        <v>44253</v>
      </c>
      <c r="K7" s="11">
        <f>J7+35</f>
        <v>44288</v>
      </c>
      <c r="L7" s="288">
        <v>35000000</v>
      </c>
      <c r="M7" s="11">
        <f>J7+180</f>
        <v>44433</v>
      </c>
      <c r="N7" s="288">
        <v>0</v>
      </c>
      <c r="O7" s="288">
        <f>L7-N7</f>
        <v>35000000</v>
      </c>
      <c r="P7" s="11">
        <v>44477</v>
      </c>
      <c r="Q7" s="13" t="s">
        <v>272</v>
      </c>
      <c r="R7" s="43"/>
      <c r="S7" s="209"/>
    </row>
    <row r="8" spans="1:22">
      <c r="F8" s="36"/>
      <c r="G8" s="36"/>
      <c r="H8" s="288"/>
      <c r="I8" s="288"/>
      <c r="J8" s="11"/>
      <c r="K8" s="11"/>
      <c r="L8" s="288"/>
      <c r="M8" s="11"/>
      <c r="N8" s="288"/>
      <c r="O8" s="288"/>
      <c r="P8" s="11"/>
      <c r="R8" s="43"/>
    </row>
    <row r="9" spans="1:22">
      <c r="F9" s="36"/>
      <c r="G9" s="36"/>
      <c r="H9" s="27"/>
      <c r="I9" s="27"/>
      <c r="J9" s="11"/>
      <c r="K9" s="11"/>
      <c r="L9" s="312"/>
      <c r="M9" s="11"/>
      <c r="N9" s="312"/>
      <c r="O9" s="312"/>
      <c r="P9" s="11"/>
      <c r="R9" s="43"/>
    </row>
    <row r="10" spans="1:22">
      <c r="A10" s="43" t="s">
        <v>2</v>
      </c>
      <c r="B10" s="43"/>
      <c r="C10" s="43"/>
      <c r="D10" s="43"/>
      <c r="E10" s="1"/>
      <c r="F10" s="13" t="s">
        <v>19</v>
      </c>
      <c r="H10" s="262">
        <f>SUM(H7:H9)</f>
        <v>35000000</v>
      </c>
      <c r="I10" s="262">
        <f>SUM(I7:I9)</f>
        <v>35000000</v>
      </c>
      <c r="J10" s="10"/>
      <c r="K10" s="10"/>
      <c r="L10" s="262">
        <f>SUM(L7:L9)</f>
        <v>35000000</v>
      </c>
      <c r="M10" s="10"/>
      <c r="N10" s="354">
        <f>SUM(N7:N9)</f>
        <v>0</v>
      </c>
      <c r="O10" s="262">
        <f>SUM(O7:O9)</f>
        <v>35000000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8"/>
      <c r="L13" s="9"/>
      <c r="M13" s="3"/>
      <c r="N13" s="76"/>
      <c r="Q13" s="13"/>
    </row>
    <row r="14" spans="1:22" s="1" customFormat="1">
      <c r="A14" s="5"/>
      <c r="B14" s="5"/>
      <c r="C14" s="5"/>
      <c r="E14" s="133"/>
      <c r="F14" s="58" t="s">
        <v>75</v>
      </c>
      <c r="G14" s="5"/>
      <c r="H14" s="77">
        <f>+E1-I10+O10+G17</f>
        <v>46829688</v>
      </c>
      <c r="I14" s="291"/>
      <c r="J14" s="138"/>
      <c r="L14" s="9"/>
      <c r="M14" s="138"/>
      <c r="Q14" s="13"/>
    </row>
    <row r="16" spans="1:22">
      <c r="K16" s="11"/>
    </row>
    <row r="17" spans="7:15">
      <c r="G17" s="298"/>
      <c r="L17" s="49"/>
      <c r="N17" s="13"/>
      <c r="O17" s="49"/>
    </row>
    <row r="21" spans="7:15">
      <c r="G21" s="36"/>
      <c r="L21" s="13"/>
      <c r="N21" s="13"/>
      <c r="O21" s="13"/>
    </row>
    <row r="28" spans="7:15">
      <c r="J28" s="35"/>
      <c r="L28" s="13"/>
      <c r="N28" s="13"/>
      <c r="O28" s="13"/>
    </row>
  </sheetData>
  <pageMargins left="0.75" right="0.75" top="1" bottom="1" header="0.5" footer="0.5"/>
  <pageSetup scale="5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0" tint="-0.499984740745262"/>
  </sheetPr>
  <dimension ref="A1:V27"/>
  <sheetViews>
    <sheetView zoomScaleNormal="100" workbookViewId="0">
      <selection activeCell="H13" sqref="H13"/>
    </sheetView>
  </sheetViews>
  <sheetFormatPr defaultColWidth="10.875" defaultRowHeight="12"/>
  <cols>
    <col min="1" max="1" width="10.125" style="13" customWidth="1"/>
    <col min="2" max="2" width="7.125" style="13" bestFit="1" customWidth="1"/>
    <col min="3" max="3" width="10.125" style="13" bestFit="1" customWidth="1"/>
    <col min="4" max="4" width="8.625" style="13" bestFit="1" customWidth="1"/>
    <col min="5" max="5" width="28.875" style="13" customWidth="1"/>
    <col min="6" max="6" width="31.1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90"/>
      <c r="C1" s="290"/>
      <c r="E1" s="378">
        <f>ROUND(Totals!$H$8*Totals!$P$19, 0)</f>
        <v>16604577</v>
      </c>
      <c r="F1" s="18"/>
      <c r="G1" s="18"/>
      <c r="H1" s="330"/>
      <c r="I1" s="331"/>
      <c r="J1" s="283"/>
      <c r="K1" s="283"/>
      <c r="L1" s="331"/>
      <c r="M1" s="283"/>
      <c r="N1" s="330"/>
      <c r="O1" s="330"/>
      <c r="P1" s="283"/>
      <c r="R1" s="284"/>
      <c r="S1" s="5"/>
      <c r="T1" s="5"/>
      <c r="U1" s="5"/>
      <c r="V1" s="5"/>
    </row>
    <row r="2" spans="1:22" s="5" customFormat="1" ht="11.4">
      <c r="A2" s="25" t="s">
        <v>72</v>
      </c>
      <c r="B2" s="48"/>
      <c r="C2" s="48"/>
      <c r="E2" s="26"/>
      <c r="F2" s="26"/>
      <c r="G2" s="26"/>
      <c r="H2" s="46"/>
      <c r="I2" s="47"/>
      <c r="J2" s="6"/>
      <c r="K2" s="6"/>
      <c r="L2" s="47"/>
      <c r="M2" s="6"/>
      <c r="N2" s="46"/>
      <c r="O2" s="46"/>
      <c r="P2" s="6"/>
      <c r="R2" s="285"/>
    </row>
    <row r="3" spans="1:22">
      <c r="A3" s="137"/>
      <c r="H3" s="44"/>
      <c r="I3" s="45"/>
      <c r="J3" s="11"/>
      <c r="K3" s="11"/>
      <c r="L3" s="45"/>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F7" s="36"/>
      <c r="G7" s="36"/>
      <c r="H7" s="27"/>
      <c r="I7" s="27"/>
      <c r="J7" s="11"/>
      <c r="K7" s="11"/>
      <c r="L7" s="312"/>
      <c r="M7" s="11"/>
      <c r="N7" s="312"/>
      <c r="O7" s="312"/>
      <c r="P7" s="11"/>
      <c r="R7" s="43"/>
    </row>
    <row r="8" spans="1:22">
      <c r="F8" s="36"/>
      <c r="G8" s="36"/>
      <c r="H8" s="27"/>
      <c r="I8" s="27"/>
      <c r="J8" s="11"/>
      <c r="K8" s="11"/>
      <c r="L8" s="312"/>
      <c r="M8" s="11"/>
      <c r="N8" s="312"/>
      <c r="O8" s="312"/>
      <c r="P8" s="11"/>
      <c r="R8" s="43"/>
    </row>
    <row r="9" spans="1:22">
      <c r="A9" s="43" t="s">
        <v>2</v>
      </c>
      <c r="B9" s="43"/>
      <c r="C9" s="43"/>
      <c r="D9" s="43"/>
      <c r="E9" s="1"/>
      <c r="F9" s="13" t="s">
        <v>19</v>
      </c>
      <c r="H9" s="262">
        <f>SUM(H7:H8)</f>
        <v>0</v>
      </c>
      <c r="I9" s="262">
        <f>SUM(I7:I8)</f>
        <v>0</v>
      </c>
      <c r="J9" s="10"/>
      <c r="K9" s="10"/>
      <c r="L9" s="262">
        <f>SUM(L7:L8)</f>
        <v>0</v>
      </c>
      <c r="M9" s="10"/>
      <c r="N9" s="262">
        <f>SUM(N7:N8)</f>
        <v>0</v>
      </c>
      <c r="O9" s="262">
        <f>SUM(O7:O8)</f>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SUM(H9-I9)</f>
        <v>0</v>
      </c>
      <c r="I11" s="9"/>
      <c r="L11" s="9"/>
      <c r="Q11" s="13"/>
    </row>
    <row r="12" spans="1:22" s="1" customFormat="1">
      <c r="A12" s="5"/>
      <c r="B12" s="5"/>
      <c r="C12" s="5"/>
      <c r="E12" s="5"/>
      <c r="G12" s="5"/>
      <c r="H12" s="67"/>
      <c r="I12" s="9"/>
      <c r="K12" s="138"/>
      <c r="L12" s="9"/>
      <c r="N12" s="76"/>
      <c r="Q12" s="13"/>
    </row>
    <row r="13" spans="1:22" s="1" customFormat="1">
      <c r="A13" s="5"/>
      <c r="B13" s="5"/>
      <c r="C13" s="5"/>
      <c r="E13" s="133"/>
      <c r="F13" s="58" t="s">
        <v>75</v>
      </c>
      <c r="G13" s="5"/>
      <c r="H13" s="77">
        <f>+E1-I9+O9+G16</f>
        <v>16604577</v>
      </c>
      <c r="I13" s="291"/>
      <c r="J13" s="138"/>
      <c r="L13" s="9"/>
      <c r="M13" s="138"/>
      <c r="Q13" s="13"/>
    </row>
    <row r="14" spans="1:22">
      <c r="I14" s="97"/>
    </row>
    <row r="16" spans="1:22">
      <c r="G16" s="298"/>
    </row>
    <row r="27" spans="10:10">
      <c r="J27" s="35"/>
    </row>
  </sheetData>
  <pageMargins left="0.75" right="0.75" top="1" bottom="1" header="0.5" footer="0.5"/>
  <pageSetup scale="5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theme="0" tint="-0.499984740745262"/>
  </sheetPr>
  <dimension ref="A1:V28"/>
  <sheetViews>
    <sheetView zoomScaleNormal="100" workbookViewId="0">
      <selection activeCell="H14" sqref="H14"/>
    </sheetView>
  </sheetViews>
  <sheetFormatPr defaultColWidth="10.875" defaultRowHeight="12"/>
  <cols>
    <col min="1" max="1" width="10.375" style="13" customWidth="1"/>
    <col min="2" max="2" width="7.125" style="13" bestFit="1" customWidth="1"/>
    <col min="3" max="3" width="10.125" style="13" bestFit="1" customWidth="1"/>
    <col min="4" max="4" width="8.625" style="13" bestFit="1" customWidth="1"/>
    <col min="5" max="5" width="30" style="13" customWidth="1"/>
    <col min="6" max="6" width="30.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4.375" style="13" customWidth="1"/>
    <col min="19" max="16384" width="10.875" style="13"/>
  </cols>
  <sheetData>
    <row r="1" spans="1:22" s="17" customFormat="1" ht="11.4">
      <c r="A1" s="16" t="s">
        <v>12</v>
      </c>
      <c r="B1" s="290"/>
      <c r="C1" s="290"/>
      <c r="E1" s="378">
        <f>ROUND(Totals!$H$8*Totals!$P$20, 0)</f>
        <v>22791933</v>
      </c>
      <c r="F1" s="18"/>
      <c r="G1" s="18"/>
      <c r="H1" s="330"/>
      <c r="I1" s="331"/>
      <c r="J1" s="283"/>
      <c r="K1" s="283"/>
      <c r="L1" s="331"/>
      <c r="M1" s="283"/>
      <c r="N1" s="330"/>
      <c r="O1" s="330"/>
      <c r="P1" s="283"/>
      <c r="R1" s="284"/>
      <c r="S1" s="5"/>
      <c r="T1" s="5"/>
      <c r="U1" s="5"/>
      <c r="V1" s="5"/>
    </row>
    <row r="2" spans="1:22" s="5" customFormat="1" ht="11.4">
      <c r="A2" s="25" t="s">
        <v>62</v>
      </c>
      <c r="B2" s="48"/>
      <c r="C2" s="48"/>
      <c r="E2" s="26"/>
      <c r="F2" s="26"/>
      <c r="G2" s="26"/>
      <c r="H2" s="46"/>
      <c r="I2" s="47"/>
      <c r="J2" s="6"/>
      <c r="K2" s="6"/>
      <c r="L2" s="47"/>
      <c r="M2" s="6"/>
      <c r="N2" s="46"/>
      <c r="O2" s="46"/>
      <c r="P2" s="6"/>
      <c r="R2" s="285"/>
    </row>
    <row r="3" spans="1:22">
      <c r="A3" s="137"/>
      <c r="H3" s="44"/>
      <c r="I3" s="45"/>
      <c r="J3" s="11"/>
      <c r="K3" s="11"/>
      <c r="L3" s="45"/>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F7" s="36"/>
      <c r="G7" s="36"/>
      <c r="H7" s="288"/>
      <c r="I7" s="288"/>
      <c r="J7" s="11"/>
      <c r="K7" s="11"/>
      <c r="L7" s="312"/>
      <c r="M7" s="11"/>
      <c r="N7" s="312"/>
      <c r="O7" s="312"/>
      <c r="P7" s="11"/>
      <c r="R7" s="43"/>
    </row>
    <row r="8" spans="1:22">
      <c r="F8" s="36"/>
      <c r="G8" s="36"/>
      <c r="H8" s="288"/>
      <c r="I8" s="288"/>
      <c r="J8" s="11"/>
      <c r="K8" s="11"/>
      <c r="L8" s="312"/>
      <c r="M8" s="11"/>
      <c r="N8" s="312"/>
      <c r="O8" s="312"/>
      <c r="P8" s="11"/>
      <c r="R8" s="43"/>
    </row>
    <row r="9" spans="1:22">
      <c r="F9" s="36"/>
      <c r="G9" s="36"/>
      <c r="H9" s="27"/>
      <c r="I9" s="27"/>
      <c r="J9" s="11"/>
      <c r="K9" s="11"/>
      <c r="L9" s="312"/>
      <c r="M9" s="11"/>
      <c r="N9" s="312"/>
      <c r="O9" s="312"/>
      <c r="P9" s="11"/>
      <c r="R9" s="43"/>
    </row>
    <row r="10" spans="1:22">
      <c r="A10" s="43" t="s">
        <v>2</v>
      </c>
      <c r="B10" s="43"/>
      <c r="C10" s="43"/>
      <c r="D10" s="43"/>
      <c r="E10" s="1"/>
      <c r="F10" s="13" t="s">
        <v>19</v>
      </c>
      <c r="H10" s="262">
        <f>SUM(H7:H9)</f>
        <v>0</v>
      </c>
      <c r="I10" s="262">
        <f>SUM(I7:I9)</f>
        <v>0</v>
      </c>
      <c r="J10" s="10"/>
      <c r="K10" s="10"/>
      <c r="L10" s="262">
        <f>SUM(L7:L9)</f>
        <v>0</v>
      </c>
      <c r="M10" s="10"/>
      <c r="N10" s="262">
        <f>SUM(N7:N9)</f>
        <v>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75</v>
      </c>
      <c r="G14" s="5"/>
      <c r="H14" s="77">
        <f>+E1-I10+O10+G17</f>
        <v>22791933</v>
      </c>
      <c r="I14" s="291"/>
      <c r="J14" s="138"/>
      <c r="L14" s="9"/>
      <c r="M14" s="138"/>
      <c r="Q14" s="13"/>
    </row>
    <row r="16" spans="1:22">
      <c r="M16" s="11"/>
    </row>
    <row r="17" spans="7:11" s="13" customFormat="1">
      <c r="G17" s="298"/>
      <c r="H17" s="12"/>
      <c r="I17" s="35"/>
      <c r="J17" s="11"/>
      <c r="K17" s="11"/>
    </row>
    <row r="19" spans="7:11" s="13" customFormat="1">
      <c r="H19" s="12"/>
      <c r="I19" s="35"/>
      <c r="K19" s="13" t="s">
        <v>7</v>
      </c>
    </row>
    <row r="28" spans="7:11" s="13" customFormat="1">
      <c r="H28" s="12"/>
      <c r="I28" s="35"/>
      <c r="J28" s="35"/>
    </row>
  </sheetData>
  <phoneticPr fontId="3" type="noConversion"/>
  <pageMargins left="0.75" right="0.75" top="1" bottom="1" header="0.5" footer="0.5"/>
  <pageSetup scale="5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theme="0" tint="-0.249977111117893"/>
  </sheetPr>
  <dimension ref="A1:V139"/>
  <sheetViews>
    <sheetView zoomScaleNormal="100" workbookViewId="0">
      <pane ySplit="6" topLeftCell="A82" activePane="bottomLeft" state="frozen"/>
      <selection pane="bottomLeft" activeCell="H111" sqref="H111"/>
    </sheetView>
  </sheetViews>
  <sheetFormatPr defaultColWidth="11.375" defaultRowHeight="12"/>
  <cols>
    <col min="1" max="1" width="8.375" style="1" customWidth="1"/>
    <col min="2" max="2" width="6.125" style="1" customWidth="1"/>
    <col min="3" max="3" width="9.375" style="1" customWidth="1"/>
    <col min="4" max="4" width="13.25" style="1" bestFit="1" customWidth="1"/>
    <col min="5" max="5" width="32.75" style="1" customWidth="1"/>
    <col min="6" max="6" width="50" style="1" customWidth="1"/>
    <col min="7" max="7" width="14" style="1" bestFit="1" customWidth="1"/>
    <col min="8" max="8" width="17.375" style="76" bestFit="1" customWidth="1"/>
    <col min="9" max="9" width="14" style="1" customWidth="1"/>
    <col min="10" max="10" width="13.75" style="1" bestFit="1" customWidth="1"/>
    <col min="11" max="11" width="9.625" style="1" bestFit="1" customWidth="1"/>
    <col min="12" max="12" width="14" style="9" customWidth="1"/>
    <col min="13" max="13" width="9.625" style="1" customWidth="1"/>
    <col min="14" max="14" width="15.25" style="1" bestFit="1" customWidth="1"/>
    <col min="15" max="15" width="14" style="1" bestFit="1" customWidth="1"/>
    <col min="16" max="16" width="10.625" style="1" bestFit="1" customWidth="1"/>
    <col min="17" max="17" width="10.25" style="13" bestFit="1" customWidth="1"/>
    <col min="18" max="18" width="44.75" style="1" bestFit="1" customWidth="1"/>
    <col min="19" max="19" width="17.75" style="1" bestFit="1" customWidth="1"/>
    <col min="20" max="16384" width="11.375" style="1"/>
  </cols>
  <sheetData>
    <row r="1" spans="1:22" s="24" customFormat="1">
      <c r="A1" s="25" t="s">
        <v>30</v>
      </c>
      <c r="B1" s="48"/>
      <c r="C1" s="290"/>
      <c r="D1" s="17"/>
      <c r="E1" s="378">
        <f>Totals!I8</f>
        <v>1200003369</v>
      </c>
      <c r="F1" s="202"/>
      <c r="G1" s="18"/>
      <c r="H1" s="129"/>
      <c r="I1" s="20"/>
      <c r="J1" s="21"/>
      <c r="K1" s="22"/>
      <c r="L1" s="519"/>
      <c r="M1" s="22"/>
      <c r="N1" s="19"/>
      <c r="O1" s="19"/>
      <c r="P1" s="283"/>
      <c r="Q1" s="17"/>
      <c r="R1" s="284"/>
      <c r="S1" s="13"/>
      <c r="T1" s="13"/>
      <c r="U1" s="13"/>
      <c r="V1" s="13"/>
    </row>
    <row r="2" spans="1:22" s="13" customFormat="1">
      <c r="A2" s="25"/>
      <c r="B2" s="48"/>
      <c r="C2" s="48"/>
      <c r="D2" s="5"/>
      <c r="E2" s="52"/>
      <c r="F2" s="26"/>
      <c r="G2" s="26"/>
      <c r="H2" s="66"/>
      <c r="I2" s="28"/>
      <c r="J2" s="29"/>
      <c r="K2" s="11"/>
      <c r="L2" s="27"/>
      <c r="M2" s="11"/>
      <c r="N2" s="27"/>
      <c r="O2" s="27"/>
      <c r="P2" s="6"/>
      <c r="Q2" s="5"/>
      <c r="R2" s="285"/>
    </row>
    <row r="3" spans="1:22" s="13" customFormat="1">
      <c r="A3" s="25"/>
      <c r="B3" s="48"/>
      <c r="C3" s="48"/>
      <c r="D3" s="5"/>
      <c r="E3" s="26"/>
      <c r="F3" s="26"/>
      <c r="G3" s="26"/>
      <c r="H3" s="66"/>
      <c r="I3" s="27"/>
      <c r="J3" s="11"/>
      <c r="K3" s="11"/>
      <c r="L3" s="27"/>
      <c r="M3" s="11"/>
      <c r="N3" s="27"/>
      <c r="O3" s="27"/>
      <c r="P3" s="6"/>
      <c r="Q3" s="1"/>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185</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66" customFormat="1">
      <c r="A7" s="466">
        <v>2</v>
      </c>
      <c r="B7" s="466">
        <v>2</v>
      </c>
      <c r="C7" s="466">
        <v>5271</v>
      </c>
      <c r="D7" s="466" t="s">
        <v>390</v>
      </c>
      <c r="E7" s="466" t="s">
        <v>83</v>
      </c>
      <c r="F7" s="468" t="s">
        <v>548</v>
      </c>
      <c r="G7" s="468" t="s">
        <v>549</v>
      </c>
      <c r="H7" s="444">
        <v>100000000</v>
      </c>
      <c r="I7" s="444">
        <v>100000000</v>
      </c>
      <c r="J7" s="469">
        <v>44201</v>
      </c>
      <c r="K7" s="469">
        <f>J7+35</f>
        <v>44236</v>
      </c>
      <c r="L7" s="352">
        <v>100000000</v>
      </c>
      <c r="M7" s="469">
        <f>J7+150</f>
        <v>44351</v>
      </c>
      <c r="N7" s="352">
        <v>0</v>
      </c>
      <c r="O7" s="352">
        <f>L7-N7</f>
        <v>100000000</v>
      </c>
      <c r="P7" s="469">
        <v>44296</v>
      </c>
      <c r="Q7" s="466" t="s">
        <v>560</v>
      </c>
      <c r="R7" s="470"/>
    </row>
    <row r="8" spans="1:22" s="466" customFormat="1">
      <c r="A8" s="466">
        <v>4</v>
      </c>
      <c r="B8" s="466">
        <v>4</v>
      </c>
      <c r="C8" s="466" t="s">
        <v>530</v>
      </c>
      <c r="D8" s="466" t="s">
        <v>390</v>
      </c>
      <c r="E8" s="466" t="s">
        <v>364</v>
      </c>
      <c r="F8" s="468" t="s">
        <v>550</v>
      </c>
      <c r="G8" s="468" t="s">
        <v>152</v>
      </c>
      <c r="H8" s="444">
        <v>0</v>
      </c>
      <c r="I8" s="444"/>
      <c r="J8" s="469"/>
      <c r="K8" s="475"/>
      <c r="L8" s="352"/>
      <c r="M8" s="469"/>
      <c r="N8" s="352"/>
      <c r="O8" s="352"/>
      <c r="P8" s="469"/>
      <c r="Q8" s="466" t="s">
        <v>560</v>
      </c>
      <c r="R8" s="470"/>
    </row>
    <row r="9" spans="1:22" s="466" customFormat="1">
      <c r="A9" s="466">
        <v>7</v>
      </c>
      <c r="B9" s="466">
        <v>7</v>
      </c>
      <c r="C9" s="466">
        <v>5272</v>
      </c>
      <c r="D9" s="466" t="s">
        <v>391</v>
      </c>
      <c r="E9" s="466" t="s">
        <v>83</v>
      </c>
      <c r="F9" s="468" t="s">
        <v>551</v>
      </c>
      <c r="G9" s="468" t="s">
        <v>233</v>
      </c>
      <c r="H9" s="444">
        <v>100000000</v>
      </c>
      <c r="I9" s="444">
        <v>100000000</v>
      </c>
      <c r="J9" s="469">
        <v>44201</v>
      </c>
      <c r="K9" s="469">
        <f t="shared" ref="K9" si="0">J9+35</f>
        <v>44236</v>
      </c>
      <c r="L9" s="444">
        <v>100000000</v>
      </c>
      <c r="M9" s="469">
        <f>J9+150</f>
        <v>44351</v>
      </c>
      <c r="N9" s="520">
        <v>99998395.200000003</v>
      </c>
      <c r="O9" s="520">
        <f t="shared" ref="O9:O16" si="1">L9-N9</f>
        <v>1604.7999999970198</v>
      </c>
      <c r="P9" s="469">
        <v>44348</v>
      </c>
      <c r="Q9" s="466" t="s">
        <v>560</v>
      </c>
      <c r="R9" s="470"/>
    </row>
    <row r="10" spans="1:22" s="13" customFormat="1">
      <c r="A10" s="13">
        <v>10</v>
      </c>
      <c r="B10" s="13">
        <v>14</v>
      </c>
      <c r="C10" s="13">
        <v>5277</v>
      </c>
      <c r="D10" s="13" t="s">
        <v>390</v>
      </c>
      <c r="E10" s="13" t="s">
        <v>158</v>
      </c>
      <c r="F10" s="36" t="s">
        <v>552</v>
      </c>
      <c r="G10" s="36" t="s">
        <v>553</v>
      </c>
      <c r="H10" s="420">
        <v>25000000</v>
      </c>
      <c r="I10" s="420">
        <f>H10</f>
        <v>25000000</v>
      </c>
      <c r="J10" s="11">
        <v>44205</v>
      </c>
      <c r="K10" s="11">
        <f>J10+35</f>
        <v>44240</v>
      </c>
      <c r="L10" s="288">
        <v>25000000</v>
      </c>
      <c r="M10" s="11">
        <f>J10+180</f>
        <v>44385</v>
      </c>
      <c r="N10" s="288">
        <v>0</v>
      </c>
      <c r="O10" s="288">
        <f t="shared" si="1"/>
        <v>25000000</v>
      </c>
      <c r="P10" s="11">
        <v>44342</v>
      </c>
      <c r="Q10" s="13" t="s">
        <v>210</v>
      </c>
      <c r="R10" s="440" t="s">
        <v>630</v>
      </c>
      <c r="S10" s="466" t="s">
        <v>632</v>
      </c>
    </row>
    <row r="11" spans="1:22" s="13" customFormat="1">
      <c r="A11" s="13">
        <v>11</v>
      </c>
      <c r="B11" s="13">
        <v>17</v>
      </c>
      <c r="C11" s="13">
        <v>5278</v>
      </c>
      <c r="D11" s="13" t="s">
        <v>390</v>
      </c>
      <c r="E11" s="13" t="s">
        <v>158</v>
      </c>
      <c r="F11" s="36" t="s">
        <v>554</v>
      </c>
      <c r="G11" s="36" t="s">
        <v>224</v>
      </c>
      <c r="H11" s="420">
        <v>20000000</v>
      </c>
      <c r="I11" s="420">
        <f t="shared" ref="I11:I13" si="2">H11</f>
        <v>20000000</v>
      </c>
      <c r="J11" s="11">
        <v>44205</v>
      </c>
      <c r="K11" s="11">
        <f t="shared" ref="K11:K13" si="3">J11+35</f>
        <v>44240</v>
      </c>
      <c r="L11" s="288">
        <v>20000000</v>
      </c>
      <c r="M11" s="11">
        <f t="shared" ref="M11:M13" si="4">J11+180</f>
        <v>44385</v>
      </c>
      <c r="N11" s="288">
        <v>0</v>
      </c>
      <c r="O11" s="288">
        <f t="shared" si="1"/>
        <v>20000000</v>
      </c>
      <c r="P11" s="11">
        <v>44370</v>
      </c>
      <c r="Q11" s="13" t="s">
        <v>210</v>
      </c>
      <c r="R11" s="440" t="s">
        <v>630</v>
      </c>
      <c r="S11" s="466"/>
    </row>
    <row r="12" spans="1:22" s="13" customFormat="1">
      <c r="A12" s="13">
        <v>13</v>
      </c>
      <c r="B12" s="13">
        <v>20</v>
      </c>
      <c r="C12" s="13">
        <v>5279</v>
      </c>
      <c r="D12" s="13" t="s">
        <v>390</v>
      </c>
      <c r="E12" s="13" t="s">
        <v>161</v>
      </c>
      <c r="F12" s="36" t="s">
        <v>353</v>
      </c>
      <c r="G12" s="36" t="s">
        <v>80</v>
      </c>
      <c r="H12" s="420">
        <v>12000000</v>
      </c>
      <c r="I12" s="420">
        <f t="shared" si="2"/>
        <v>12000000</v>
      </c>
      <c r="J12" s="11">
        <v>44205</v>
      </c>
      <c r="K12" s="11">
        <f t="shared" si="3"/>
        <v>44240</v>
      </c>
      <c r="L12" s="288">
        <v>12000000</v>
      </c>
      <c r="M12" s="11">
        <f t="shared" si="4"/>
        <v>44385</v>
      </c>
      <c r="N12" s="288">
        <v>0</v>
      </c>
      <c r="O12" s="288">
        <f t="shared" si="1"/>
        <v>12000000</v>
      </c>
      <c r="P12" s="11">
        <v>44336</v>
      </c>
      <c r="Q12" s="13" t="s">
        <v>210</v>
      </c>
      <c r="R12" s="440" t="s">
        <v>630</v>
      </c>
      <c r="S12" s="466" t="s">
        <v>633</v>
      </c>
    </row>
    <row r="13" spans="1:22" s="13" customFormat="1">
      <c r="A13" s="13">
        <v>14</v>
      </c>
      <c r="B13" s="13">
        <v>22</v>
      </c>
      <c r="C13" s="13">
        <v>5280</v>
      </c>
      <c r="D13" s="13" t="s">
        <v>390</v>
      </c>
      <c r="E13" s="13" t="s">
        <v>158</v>
      </c>
      <c r="F13" s="36" t="s">
        <v>555</v>
      </c>
      <c r="G13" s="36" t="s">
        <v>556</v>
      </c>
      <c r="H13" s="420">
        <v>25000000</v>
      </c>
      <c r="I13" s="420">
        <f t="shared" si="2"/>
        <v>25000000</v>
      </c>
      <c r="J13" s="11">
        <v>44205</v>
      </c>
      <c r="K13" s="11">
        <f t="shared" si="3"/>
        <v>44240</v>
      </c>
      <c r="L13" s="288">
        <v>25000000</v>
      </c>
      <c r="M13" s="11">
        <f t="shared" si="4"/>
        <v>44385</v>
      </c>
      <c r="N13" s="288">
        <v>0</v>
      </c>
      <c r="O13" s="288">
        <f t="shared" si="1"/>
        <v>25000000</v>
      </c>
      <c r="P13" s="11">
        <v>44281</v>
      </c>
      <c r="Q13" s="13" t="s">
        <v>210</v>
      </c>
      <c r="R13" s="440" t="s">
        <v>630</v>
      </c>
    </row>
    <row r="14" spans="1:22" s="466" customFormat="1">
      <c r="A14" s="466">
        <v>15</v>
      </c>
      <c r="B14" s="466">
        <v>15</v>
      </c>
      <c r="C14" s="466">
        <v>5281</v>
      </c>
      <c r="D14" s="466" t="s">
        <v>390</v>
      </c>
      <c r="E14" s="466" t="s">
        <v>83</v>
      </c>
      <c r="F14" s="468" t="s">
        <v>401</v>
      </c>
      <c r="G14" s="468" t="s">
        <v>402</v>
      </c>
      <c r="H14" s="444">
        <v>50000000</v>
      </c>
      <c r="I14" s="444">
        <f>H14</f>
        <v>50000000</v>
      </c>
      <c r="J14" s="469">
        <v>44205</v>
      </c>
      <c r="K14" s="469">
        <f>J14+35</f>
        <v>44240</v>
      </c>
      <c r="L14" s="352">
        <v>50000000</v>
      </c>
      <c r="M14" s="469">
        <f>J14+150</f>
        <v>44355</v>
      </c>
      <c r="N14" s="352">
        <v>0</v>
      </c>
      <c r="O14" s="352">
        <f t="shared" si="1"/>
        <v>50000000</v>
      </c>
      <c r="P14" s="469">
        <v>44310</v>
      </c>
      <c r="Q14" s="466" t="s">
        <v>560</v>
      </c>
      <c r="R14" s="470"/>
    </row>
    <row r="15" spans="1:22" s="13" customFormat="1">
      <c r="A15" s="13">
        <v>18</v>
      </c>
      <c r="B15" s="13">
        <v>33</v>
      </c>
      <c r="C15" s="13">
        <v>5285</v>
      </c>
      <c r="D15" s="13" t="s">
        <v>391</v>
      </c>
      <c r="E15" s="13" t="s">
        <v>314</v>
      </c>
      <c r="F15" s="36" t="s">
        <v>557</v>
      </c>
      <c r="G15" s="36" t="s">
        <v>80</v>
      </c>
      <c r="H15" s="420">
        <v>30000000</v>
      </c>
      <c r="I15" s="288">
        <f>H15</f>
        <v>30000000</v>
      </c>
      <c r="J15" s="11">
        <v>44208</v>
      </c>
      <c r="K15" s="11">
        <f>J15+35</f>
        <v>44243</v>
      </c>
      <c r="L15" s="288">
        <v>30000000</v>
      </c>
      <c r="M15" s="11">
        <f>J15+180</f>
        <v>44388</v>
      </c>
      <c r="N15" s="288">
        <v>12241000</v>
      </c>
      <c r="O15" s="288">
        <f t="shared" si="1"/>
        <v>17759000</v>
      </c>
      <c r="P15" s="11">
        <v>44365</v>
      </c>
      <c r="Q15" s="13" t="s">
        <v>216</v>
      </c>
      <c r="R15" s="440" t="s">
        <v>631</v>
      </c>
    </row>
    <row r="16" spans="1:22" s="13" customFormat="1">
      <c r="A16" s="13">
        <v>19</v>
      </c>
      <c r="B16" s="13">
        <v>36</v>
      </c>
      <c r="C16" s="13">
        <v>5286</v>
      </c>
      <c r="D16" s="13" t="s">
        <v>391</v>
      </c>
      <c r="E16" s="13" t="s">
        <v>225</v>
      </c>
      <c r="F16" s="36" t="s">
        <v>347</v>
      </c>
      <c r="G16" s="36" t="s">
        <v>348</v>
      </c>
      <c r="H16" s="420">
        <v>35000000</v>
      </c>
      <c r="I16" s="420">
        <f>H16</f>
        <v>35000000</v>
      </c>
      <c r="J16" s="11">
        <v>44208</v>
      </c>
      <c r="K16" s="11">
        <f>J16+35</f>
        <v>44243</v>
      </c>
      <c r="L16" s="288">
        <v>35000000</v>
      </c>
      <c r="M16" s="11">
        <f>J16+180</f>
        <v>44388</v>
      </c>
      <c r="N16" s="288">
        <v>22425000</v>
      </c>
      <c r="O16" s="288">
        <f t="shared" si="1"/>
        <v>12575000</v>
      </c>
      <c r="P16" s="11">
        <v>44378</v>
      </c>
      <c r="Q16" s="13" t="s">
        <v>216</v>
      </c>
      <c r="R16" s="440" t="s">
        <v>629</v>
      </c>
    </row>
    <row r="17" spans="1:19" s="13" customFormat="1">
      <c r="A17" s="13">
        <v>23</v>
      </c>
      <c r="B17" s="13">
        <v>44</v>
      </c>
      <c r="C17" s="13">
        <v>5287</v>
      </c>
      <c r="D17" s="13" t="s">
        <v>390</v>
      </c>
      <c r="E17" s="13" t="s">
        <v>276</v>
      </c>
      <c r="F17" s="36" t="s">
        <v>351</v>
      </c>
      <c r="G17" s="36" t="s">
        <v>79</v>
      </c>
      <c r="H17" s="420">
        <v>35000000</v>
      </c>
      <c r="I17" s="420">
        <f>H17</f>
        <v>35000000</v>
      </c>
      <c r="J17" s="11">
        <v>44208</v>
      </c>
      <c r="K17" s="11">
        <f>J17+35</f>
        <v>44243</v>
      </c>
      <c r="L17" s="288">
        <v>35000000</v>
      </c>
      <c r="M17" s="11">
        <f>J17+180</f>
        <v>44388</v>
      </c>
      <c r="N17" s="288">
        <v>0</v>
      </c>
      <c r="O17" s="288">
        <f>L17-N17</f>
        <v>35000000</v>
      </c>
      <c r="P17" s="11">
        <v>44307</v>
      </c>
      <c r="Q17" s="13" t="s">
        <v>209</v>
      </c>
      <c r="R17" s="440" t="s">
        <v>629</v>
      </c>
    </row>
    <row r="18" spans="1:19" s="466" customFormat="1">
      <c r="A18" s="466">
        <v>24</v>
      </c>
      <c r="B18" s="466">
        <v>24</v>
      </c>
      <c r="C18" s="466" t="s">
        <v>531</v>
      </c>
      <c r="D18" s="466" t="s">
        <v>390</v>
      </c>
      <c r="E18" s="466" t="s">
        <v>83</v>
      </c>
      <c r="F18" s="468" t="s">
        <v>350</v>
      </c>
      <c r="G18" s="468" t="s">
        <v>82</v>
      </c>
      <c r="H18" s="444">
        <v>0</v>
      </c>
      <c r="I18" s="444"/>
      <c r="J18" s="469"/>
      <c r="K18" s="469"/>
      <c r="L18" s="352"/>
      <c r="M18" s="469"/>
      <c r="N18" s="352"/>
      <c r="O18" s="352"/>
      <c r="P18" s="469"/>
      <c r="Q18" s="466" t="s">
        <v>560</v>
      </c>
      <c r="R18" s="470"/>
    </row>
    <row r="19" spans="1:19" s="13" customFormat="1">
      <c r="A19" s="13">
        <v>25</v>
      </c>
      <c r="B19" s="13">
        <v>45</v>
      </c>
      <c r="C19" s="13">
        <v>5288</v>
      </c>
      <c r="D19" s="13" t="s">
        <v>390</v>
      </c>
      <c r="E19" s="13" t="s">
        <v>158</v>
      </c>
      <c r="F19" s="36" t="s">
        <v>558</v>
      </c>
      <c r="G19" s="36" t="s">
        <v>559</v>
      </c>
      <c r="H19" s="420">
        <v>12000000</v>
      </c>
      <c r="I19" s="288">
        <f>H19</f>
        <v>12000000</v>
      </c>
      <c r="J19" s="11">
        <v>44208</v>
      </c>
      <c r="K19" s="11">
        <f>J19+35</f>
        <v>44243</v>
      </c>
      <c r="L19" s="288">
        <v>12000000</v>
      </c>
      <c r="M19" s="11">
        <f>J19+180</f>
        <v>44388</v>
      </c>
      <c r="N19" s="348">
        <v>0</v>
      </c>
      <c r="O19" s="288">
        <f>L19-N19</f>
        <v>12000000</v>
      </c>
      <c r="P19" s="11">
        <v>44365</v>
      </c>
      <c r="Q19" s="13" t="s">
        <v>210</v>
      </c>
      <c r="R19" s="440" t="s">
        <v>631</v>
      </c>
    </row>
    <row r="20" spans="1:19" s="13" customFormat="1">
      <c r="A20" s="13">
        <v>27</v>
      </c>
      <c r="B20" s="13">
        <v>49</v>
      </c>
      <c r="C20" s="13">
        <v>5289</v>
      </c>
      <c r="D20" s="13" t="s">
        <v>391</v>
      </c>
      <c r="E20" s="13" t="s">
        <v>314</v>
      </c>
      <c r="F20" s="36" t="s">
        <v>561</v>
      </c>
      <c r="G20" s="36" t="s">
        <v>497</v>
      </c>
      <c r="H20" s="420">
        <v>30000000</v>
      </c>
      <c r="I20" s="420">
        <f>H20</f>
        <v>30000000</v>
      </c>
      <c r="J20" s="11">
        <v>44208</v>
      </c>
      <c r="K20" s="11">
        <f>J20+35</f>
        <v>44243</v>
      </c>
      <c r="L20" s="288">
        <v>30000000</v>
      </c>
      <c r="M20" s="11">
        <f>J20+180</f>
        <v>44388</v>
      </c>
      <c r="N20" s="288">
        <v>23475000</v>
      </c>
      <c r="O20" s="288">
        <f>L20-N20</f>
        <v>6525000</v>
      </c>
      <c r="P20" s="11">
        <v>44391</v>
      </c>
      <c r="Q20" s="13" t="s">
        <v>264</v>
      </c>
      <c r="R20" s="440" t="s">
        <v>631</v>
      </c>
    </row>
    <row r="21" spans="1:19" s="5" customFormat="1">
      <c r="A21" s="13">
        <v>28</v>
      </c>
      <c r="B21" s="13">
        <v>50</v>
      </c>
      <c r="C21" s="13" t="s">
        <v>532</v>
      </c>
      <c r="D21" s="13" t="s">
        <v>390</v>
      </c>
      <c r="E21" s="13" t="s">
        <v>314</v>
      </c>
      <c r="F21" s="36" t="s">
        <v>562</v>
      </c>
      <c r="G21" s="36" t="s">
        <v>80</v>
      </c>
      <c r="H21" s="420">
        <v>0</v>
      </c>
      <c r="I21" s="288"/>
      <c r="J21" s="11"/>
      <c r="K21" s="11"/>
      <c r="L21" s="288"/>
      <c r="M21" s="11"/>
      <c r="N21" s="288"/>
      <c r="O21" s="288"/>
      <c r="P21" s="11"/>
      <c r="Q21" s="13" t="s">
        <v>264</v>
      </c>
      <c r="R21" s="93" t="s">
        <v>628</v>
      </c>
      <c r="S21" s="13"/>
    </row>
    <row r="22" spans="1:19" s="13" customFormat="1">
      <c r="A22" s="13">
        <v>32</v>
      </c>
      <c r="B22" s="13">
        <v>54</v>
      </c>
      <c r="C22" s="13">
        <v>5294</v>
      </c>
      <c r="D22" s="13" t="s">
        <v>390</v>
      </c>
      <c r="E22" s="13" t="s">
        <v>314</v>
      </c>
      <c r="F22" s="36" t="s">
        <v>359</v>
      </c>
      <c r="G22" s="36" t="s">
        <v>80</v>
      </c>
      <c r="H22" s="420">
        <v>20000000</v>
      </c>
      <c r="I22" s="288">
        <f>H22</f>
        <v>20000000</v>
      </c>
      <c r="J22" s="11">
        <v>44209</v>
      </c>
      <c r="K22" s="11">
        <f>J22+35</f>
        <v>44244</v>
      </c>
      <c r="L22" s="288">
        <v>20000000</v>
      </c>
      <c r="M22" s="11">
        <f>J22+180</f>
        <v>44389</v>
      </c>
      <c r="N22" s="348">
        <v>0</v>
      </c>
      <c r="O22" s="288">
        <f t="shared" ref="O22:O28" si="5">L22-N22</f>
        <v>20000000</v>
      </c>
      <c r="P22" s="11">
        <v>44383</v>
      </c>
      <c r="Q22" s="13" t="s">
        <v>264</v>
      </c>
      <c r="R22" s="440" t="s">
        <v>637</v>
      </c>
    </row>
    <row r="23" spans="1:19" s="13" customFormat="1">
      <c r="A23" s="13">
        <v>33</v>
      </c>
      <c r="B23" s="13">
        <v>55</v>
      </c>
      <c r="C23" s="13">
        <v>5295</v>
      </c>
      <c r="D23" s="13" t="s">
        <v>390</v>
      </c>
      <c r="E23" s="13" t="s">
        <v>314</v>
      </c>
      <c r="F23" s="36" t="s">
        <v>357</v>
      </c>
      <c r="G23" s="36" t="s">
        <v>358</v>
      </c>
      <c r="H23" s="420">
        <v>40000000</v>
      </c>
      <c r="I23" s="288">
        <f t="shared" ref="I23:I25" si="6">H23</f>
        <v>40000000</v>
      </c>
      <c r="J23" s="11">
        <v>44209</v>
      </c>
      <c r="K23" s="11">
        <f t="shared" ref="K23:K28" si="7">J23+35</f>
        <v>44244</v>
      </c>
      <c r="L23" s="288">
        <v>40000000</v>
      </c>
      <c r="M23" s="11">
        <f>J23+180</f>
        <v>44389</v>
      </c>
      <c r="N23" s="288">
        <v>0</v>
      </c>
      <c r="O23" s="288">
        <f t="shared" si="5"/>
        <v>40000000</v>
      </c>
      <c r="P23" s="11">
        <v>44289</v>
      </c>
      <c r="Q23" s="13" t="s">
        <v>264</v>
      </c>
      <c r="R23" s="440" t="s">
        <v>637</v>
      </c>
    </row>
    <row r="24" spans="1:19" s="13" customFormat="1">
      <c r="A24" s="13">
        <v>39</v>
      </c>
      <c r="B24" s="13">
        <v>60</v>
      </c>
      <c r="C24" s="13">
        <v>5296</v>
      </c>
      <c r="D24" s="13" t="s">
        <v>390</v>
      </c>
      <c r="E24" s="13" t="s">
        <v>231</v>
      </c>
      <c r="F24" s="36" t="s">
        <v>563</v>
      </c>
      <c r="G24" s="36" t="s">
        <v>142</v>
      </c>
      <c r="H24" s="420">
        <v>40000000</v>
      </c>
      <c r="I24" s="288">
        <f t="shared" si="6"/>
        <v>40000000</v>
      </c>
      <c r="J24" s="11">
        <v>44209</v>
      </c>
      <c r="K24" s="11">
        <f t="shared" si="7"/>
        <v>44244</v>
      </c>
      <c r="L24" s="288">
        <v>40000000</v>
      </c>
      <c r="M24" s="11">
        <f t="shared" ref="M24:M28" si="8">J24+180</f>
        <v>44389</v>
      </c>
      <c r="N24" s="348">
        <v>0</v>
      </c>
      <c r="O24" s="288">
        <f t="shared" si="5"/>
        <v>40000000</v>
      </c>
      <c r="P24" s="11">
        <v>44336</v>
      </c>
      <c r="Q24" s="13" t="s">
        <v>264</v>
      </c>
      <c r="R24" s="440" t="s">
        <v>637</v>
      </c>
    </row>
    <row r="25" spans="1:19" s="13" customFormat="1">
      <c r="A25" s="13">
        <v>41</v>
      </c>
      <c r="B25" s="13">
        <v>63</v>
      </c>
      <c r="C25" s="13">
        <v>5297</v>
      </c>
      <c r="D25" s="13" t="s">
        <v>390</v>
      </c>
      <c r="E25" s="13" t="s">
        <v>314</v>
      </c>
      <c r="F25" s="36" t="s">
        <v>368</v>
      </c>
      <c r="G25" s="36" t="s">
        <v>80</v>
      </c>
      <c r="H25" s="420">
        <v>50000000</v>
      </c>
      <c r="I25" s="288">
        <f t="shared" si="6"/>
        <v>50000000</v>
      </c>
      <c r="J25" s="11">
        <v>44209</v>
      </c>
      <c r="K25" s="11">
        <f t="shared" si="7"/>
        <v>44244</v>
      </c>
      <c r="L25" s="288">
        <v>50000000</v>
      </c>
      <c r="M25" s="11">
        <f t="shared" si="8"/>
        <v>44389</v>
      </c>
      <c r="N25" s="288">
        <v>0</v>
      </c>
      <c r="O25" s="288">
        <f t="shared" si="5"/>
        <v>50000000</v>
      </c>
      <c r="P25" s="11">
        <v>44310</v>
      </c>
      <c r="Q25" s="13" t="s">
        <v>264</v>
      </c>
      <c r="R25" s="440" t="s">
        <v>637</v>
      </c>
    </row>
    <row r="26" spans="1:19" s="13" customFormat="1">
      <c r="A26" s="13">
        <v>48</v>
      </c>
      <c r="B26" s="13">
        <v>70</v>
      </c>
      <c r="C26" s="13">
        <v>5300</v>
      </c>
      <c r="D26" s="13" t="s">
        <v>390</v>
      </c>
      <c r="E26" s="13" t="s">
        <v>278</v>
      </c>
      <c r="F26" s="36" t="s">
        <v>564</v>
      </c>
      <c r="G26" s="36" t="s">
        <v>79</v>
      </c>
      <c r="H26" s="420">
        <v>40000000</v>
      </c>
      <c r="I26" s="420">
        <v>40000000</v>
      </c>
      <c r="J26" s="11">
        <v>44210</v>
      </c>
      <c r="K26" s="11">
        <f t="shared" si="7"/>
        <v>44245</v>
      </c>
      <c r="L26" s="288">
        <v>40000000</v>
      </c>
      <c r="M26" s="11">
        <f t="shared" si="8"/>
        <v>44390</v>
      </c>
      <c r="N26" s="288">
        <v>0</v>
      </c>
      <c r="O26" s="288">
        <f t="shared" si="5"/>
        <v>40000000</v>
      </c>
      <c r="P26" s="11">
        <v>44357</v>
      </c>
      <c r="Q26" s="13" t="s">
        <v>264</v>
      </c>
      <c r="R26" s="440" t="s">
        <v>639</v>
      </c>
    </row>
    <row r="27" spans="1:19" s="13" customFormat="1">
      <c r="A27" s="13">
        <v>49</v>
      </c>
      <c r="B27" s="13">
        <v>72</v>
      </c>
      <c r="C27" s="13">
        <v>5301</v>
      </c>
      <c r="D27" s="13" t="s">
        <v>391</v>
      </c>
      <c r="E27" s="13" t="s">
        <v>314</v>
      </c>
      <c r="F27" s="36" t="s">
        <v>565</v>
      </c>
      <c r="G27" s="36" t="s">
        <v>80</v>
      </c>
      <c r="H27" s="420">
        <v>28000000</v>
      </c>
      <c r="I27" s="420">
        <f>H27</f>
        <v>28000000</v>
      </c>
      <c r="J27" s="11">
        <v>44210</v>
      </c>
      <c r="K27" s="11">
        <f t="shared" si="7"/>
        <v>44245</v>
      </c>
      <c r="L27" s="288">
        <v>28000000</v>
      </c>
      <c r="M27" s="11">
        <f t="shared" si="8"/>
        <v>44390</v>
      </c>
      <c r="N27" s="288">
        <v>21041000</v>
      </c>
      <c r="O27" s="288">
        <f t="shared" si="5"/>
        <v>6959000</v>
      </c>
      <c r="P27" s="11">
        <v>44397</v>
      </c>
      <c r="Q27" s="13" t="s">
        <v>264</v>
      </c>
      <c r="R27" s="440" t="s">
        <v>639</v>
      </c>
    </row>
    <row r="28" spans="1:19" s="13" customFormat="1">
      <c r="A28" s="13">
        <v>52</v>
      </c>
      <c r="B28" s="13">
        <v>28</v>
      </c>
      <c r="C28" s="13">
        <v>5302</v>
      </c>
      <c r="D28" s="13" t="s">
        <v>390</v>
      </c>
      <c r="E28" s="13" t="s">
        <v>158</v>
      </c>
      <c r="F28" s="36" t="s">
        <v>566</v>
      </c>
      <c r="G28" s="36" t="s">
        <v>567</v>
      </c>
      <c r="H28" s="420">
        <v>25000000</v>
      </c>
      <c r="I28" s="288">
        <f>H28</f>
        <v>25000000</v>
      </c>
      <c r="J28" s="11">
        <v>44210</v>
      </c>
      <c r="K28" s="11">
        <f t="shared" si="7"/>
        <v>44245</v>
      </c>
      <c r="L28" s="288">
        <v>25000000</v>
      </c>
      <c r="M28" s="11">
        <f t="shared" si="8"/>
        <v>44390</v>
      </c>
      <c r="N28" s="288">
        <v>0</v>
      </c>
      <c r="O28" s="288">
        <f t="shared" si="5"/>
        <v>25000000</v>
      </c>
      <c r="P28" s="11">
        <v>44322</v>
      </c>
      <c r="Q28" s="13" t="s">
        <v>241</v>
      </c>
      <c r="R28" s="440" t="s">
        <v>639</v>
      </c>
      <c r="S28" s="43"/>
    </row>
    <row r="29" spans="1:19" s="13" customFormat="1">
      <c r="A29" s="13">
        <v>54</v>
      </c>
      <c r="B29" s="13">
        <v>31</v>
      </c>
      <c r="C29" s="13" t="s">
        <v>533</v>
      </c>
      <c r="D29" s="13" t="s">
        <v>390</v>
      </c>
      <c r="E29" s="13" t="s">
        <v>568</v>
      </c>
      <c r="F29" s="36" t="s">
        <v>569</v>
      </c>
      <c r="G29" s="36" t="s">
        <v>570</v>
      </c>
      <c r="H29" s="420">
        <v>0</v>
      </c>
      <c r="I29" s="288"/>
      <c r="J29" s="11"/>
      <c r="K29" s="11"/>
      <c r="L29" s="288"/>
      <c r="M29" s="11"/>
      <c r="N29" s="288"/>
      <c r="O29" s="288"/>
      <c r="P29" s="11"/>
      <c r="Q29" s="13" t="s">
        <v>241</v>
      </c>
      <c r="R29" s="93" t="s">
        <v>640</v>
      </c>
    </row>
    <row r="30" spans="1:19" s="13" customFormat="1">
      <c r="A30" s="13">
        <v>56</v>
      </c>
      <c r="B30" s="13">
        <v>78</v>
      </c>
      <c r="C30" s="13">
        <v>5303</v>
      </c>
      <c r="D30" s="13" t="s">
        <v>390</v>
      </c>
      <c r="E30" s="13" t="s">
        <v>314</v>
      </c>
      <c r="F30" s="36" t="s">
        <v>363</v>
      </c>
      <c r="G30" s="36" t="s">
        <v>80</v>
      </c>
      <c r="H30" s="420">
        <v>20000000</v>
      </c>
      <c r="I30" s="420">
        <f>H30</f>
        <v>20000000</v>
      </c>
      <c r="J30" s="11">
        <v>44210</v>
      </c>
      <c r="K30" s="11">
        <f>J30+35</f>
        <v>44245</v>
      </c>
      <c r="L30" s="288">
        <v>10000000</v>
      </c>
      <c r="M30" s="11">
        <f>J30+180</f>
        <v>44390</v>
      </c>
      <c r="N30" s="288">
        <v>0</v>
      </c>
      <c r="O30" s="288">
        <f>I30-N30</f>
        <v>20000000</v>
      </c>
      <c r="P30" s="11">
        <v>44390</v>
      </c>
      <c r="Q30" s="13" t="s">
        <v>264</v>
      </c>
      <c r="R30" s="440" t="s">
        <v>639</v>
      </c>
    </row>
    <row r="31" spans="1:19" s="13" customFormat="1">
      <c r="A31" s="13">
        <v>60</v>
      </c>
      <c r="B31" s="13">
        <v>81</v>
      </c>
      <c r="C31" s="13">
        <v>5304</v>
      </c>
      <c r="D31" s="13" t="s">
        <v>390</v>
      </c>
      <c r="E31" s="13" t="s">
        <v>158</v>
      </c>
      <c r="F31" s="36" t="s">
        <v>571</v>
      </c>
      <c r="G31" s="36" t="s">
        <v>214</v>
      </c>
      <c r="H31" s="420">
        <v>25000000</v>
      </c>
      <c r="I31" s="420">
        <f>H31</f>
        <v>25000000</v>
      </c>
      <c r="J31" s="11">
        <v>44210</v>
      </c>
      <c r="K31" s="11">
        <f>J31+35</f>
        <v>44245</v>
      </c>
      <c r="L31" s="288">
        <v>25000000</v>
      </c>
      <c r="M31" s="11">
        <f>J31+180</f>
        <v>44390</v>
      </c>
      <c r="N31" s="288">
        <v>0</v>
      </c>
      <c r="O31" s="288">
        <f>L31-N31</f>
        <v>25000000</v>
      </c>
      <c r="P31" s="11">
        <v>44310</v>
      </c>
      <c r="Q31" s="13" t="s">
        <v>264</v>
      </c>
      <c r="R31" s="440" t="s">
        <v>639</v>
      </c>
    </row>
    <row r="32" spans="1:19" s="466" customFormat="1">
      <c r="A32" s="466">
        <v>62</v>
      </c>
      <c r="B32" s="466">
        <v>62</v>
      </c>
      <c r="C32" s="466">
        <v>5305</v>
      </c>
      <c r="D32" s="466" t="s">
        <v>391</v>
      </c>
      <c r="E32" s="466" t="s">
        <v>83</v>
      </c>
      <c r="F32" s="468" t="s">
        <v>572</v>
      </c>
      <c r="G32" s="468" t="s">
        <v>355</v>
      </c>
      <c r="H32" s="444">
        <v>50000000</v>
      </c>
      <c r="I32" s="444">
        <f>H32</f>
        <v>50000000</v>
      </c>
      <c r="J32" s="469">
        <v>44210</v>
      </c>
      <c r="K32" s="469">
        <f>J32+35</f>
        <v>44245</v>
      </c>
      <c r="L32" s="352">
        <v>50000000</v>
      </c>
      <c r="M32" s="469">
        <f>J32+150</f>
        <v>44360</v>
      </c>
      <c r="N32" s="352">
        <v>50000000</v>
      </c>
      <c r="O32" s="352">
        <f>L32-N32</f>
        <v>0</v>
      </c>
      <c r="P32" s="469">
        <v>44355</v>
      </c>
      <c r="Q32" s="466" t="s">
        <v>560</v>
      </c>
      <c r="R32" s="470"/>
    </row>
    <row r="33" spans="1:19" s="5" customFormat="1">
      <c r="A33" s="13">
        <v>63</v>
      </c>
      <c r="B33" s="13">
        <v>83</v>
      </c>
      <c r="C33" s="13" t="s">
        <v>534</v>
      </c>
      <c r="D33" s="13" t="s">
        <v>390</v>
      </c>
      <c r="E33" s="13" t="s">
        <v>573</v>
      </c>
      <c r="F33" s="36" t="s">
        <v>574</v>
      </c>
      <c r="G33" s="36" t="s">
        <v>95</v>
      </c>
      <c r="H33" s="420">
        <v>0</v>
      </c>
      <c r="I33" s="420"/>
      <c r="J33" s="11"/>
      <c r="K33" s="11"/>
      <c r="L33" s="288"/>
      <c r="M33" s="11"/>
      <c r="N33" s="288"/>
      <c r="O33" s="288"/>
      <c r="P33" s="11"/>
      <c r="Q33" s="13" t="s">
        <v>264</v>
      </c>
      <c r="R33" s="93" t="s">
        <v>642</v>
      </c>
      <c r="S33" s="13"/>
    </row>
    <row r="34" spans="1:19" s="13" customFormat="1">
      <c r="A34" s="13">
        <v>64</v>
      </c>
      <c r="B34" s="13">
        <v>84</v>
      </c>
      <c r="C34" s="13" t="s">
        <v>535</v>
      </c>
      <c r="D34" s="13" t="s">
        <v>390</v>
      </c>
      <c r="E34" s="13" t="s">
        <v>158</v>
      </c>
      <c r="F34" s="36" t="s">
        <v>575</v>
      </c>
      <c r="G34" s="36" t="s">
        <v>576</v>
      </c>
      <c r="H34" s="420">
        <v>0</v>
      </c>
      <c r="I34" s="420"/>
      <c r="J34" s="11"/>
      <c r="K34" s="11"/>
      <c r="L34" s="288"/>
      <c r="M34" s="11"/>
      <c r="N34" s="288"/>
      <c r="O34" s="288"/>
      <c r="P34" s="11"/>
      <c r="Q34" s="13" t="s">
        <v>264</v>
      </c>
      <c r="R34" s="93" t="s">
        <v>636</v>
      </c>
    </row>
    <row r="35" spans="1:19" s="5" customFormat="1">
      <c r="A35" s="13">
        <v>66</v>
      </c>
      <c r="B35" s="13">
        <v>86</v>
      </c>
      <c r="C35" s="13" t="s">
        <v>536</v>
      </c>
      <c r="D35" s="13" t="s">
        <v>390</v>
      </c>
      <c r="E35" s="13" t="s">
        <v>314</v>
      </c>
      <c r="F35" s="36" t="s">
        <v>577</v>
      </c>
      <c r="G35" s="36" t="s">
        <v>80</v>
      </c>
      <c r="H35" s="420">
        <v>0</v>
      </c>
      <c r="I35" s="420"/>
      <c r="J35" s="11"/>
      <c r="K35" s="11"/>
      <c r="L35" s="288"/>
      <c r="M35" s="11"/>
      <c r="N35" s="288"/>
      <c r="O35" s="288"/>
      <c r="P35" s="11"/>
      <c r="Q35" s="13" t="s">
        <v>264</v>
      </c>
      <c r="R35" s="93" t="s">
        <v>636</v>
      </c>
      <c r="S35" s="13"/>
    </row>
    <row r="36" spans="1:19" s="5" customFormat="1">
      <c r="A36" s="13">
        <v>67</v>
      </c>
      <c r="B36" s="13">
        <v>88</v>
      </c>
      <c r="C36" s="13" t="s">
        <v>537</v>
      </c>
      <c r="D36" s="13" t="s">
        <v>390</v>
      </c>
      <c r="E36" s="13" t="s">
        <v>314</v>
      </c>
      <c r="F36" s="36" t="s">
        <v>578</v>
      </c>
      <c r="G36" s="36" t="s">
        <v>80</v>
      </c>
      <c r="H36" s="420">
        <v>0</v>
      </c>
      <c r="I36" s="420"/>
      <c r="J36" s="11"/>
      <c r="K36" s="11"/>
      <c r="L36" s="288"/>
      <c r="M36" s="11"/>
      <c r="N36" s="288"/>
      <c r="O36" s="288"/>
      <c r="P36" s="11"/>
      <c r="Q36" s="13" t="s">
        <v>264</v>
      </c>
      <c r="R36" s="93"/>
      <c r="S36" s="13"/>
    </row>
    <row r="37" spans="1:19" s="13" customFormat="1">
      <c r="A37" s="13">
        <v>68</v>
      </c>
      <c r="B37" s="13">
        <v>90</v>
      </c>
      <c r="C37" s="13">
        <v>5309</v>
      </c>
      <c r="D37" s="13" t="s">
        <v>390</v>
      </c>
      <c r="E37" s="13" t="s">
        <v>314</v>
      </c>
      <c r="F37" s="36" t="s">
        <v>362</v>
      </c>
      <c r="G37" s="36" t="s">
        <v>80</v>
      </c>
      <c r="H37" s="420">
        <v>45000000</v>
      </c>
      <c r="I37" s="420">
        <f>H37</f>
        <v>45000000</v>
      </c>
      <c r="J37" s="11">
        <v>44211</v>
      </c>
      <c r="K37" s="11">
        <f>J37+35</f>
        <v>44246</v>
      </c>
      <c r="L37" s="288">
        <v>45000000</v>
      </c>
      <c r="M37" s="11">
        <f>J37+180</f>
        <v>44391</v>
      </c>
      <c r="N37" s="288">
        <v>0</v>
      </c>
      <c r="O37" s="288">
        <f>L37-N37</f>
        <v>45000000</v>
      </c>
      <c r="P37" s="11">
        <v>44289</v>
      </c>
      <c r="Q37" s="13" t="s">
        <v>264</v>
      </c>
      <c r="R37" s="440" t="s">
        <v>641</v>
      </c>
    </row>
    <row r="38" spans="1:19" s="466" customFormat="1">
      <c r="A38" s="466">
        <v>71</v>
      </c>
      <c r="B38" s="466">
        <v>71</v>
      </c>
      <c r="C38" s="466">
        <v>5310</v>
      </c>
      <c r="D38" s="466" t="s">
        <v>390</v>
      </c>
      <c r="E38" s="466" t="s">
        <v>227</v>
      </c>
      <c r="F38" s="468" t="s">
        <v>228</v>
      </c>
      <c r="G38" s="468" t="s">
        <v>229</v>
      </c>
      <c r="H38" s="444">
        <v>80000000</v>
      </c>
      <c r="I38" s="444">
        <f>H38</f>
        <v>80000000</v>
      </c>
      <c r="J38" s="469">
        <v>44211</v>
      </c>
      <c r="K38" s="469">
        <f>J38+35</f>
        <v>44246</v>
      </c>
      <c r="L38" s="352">
        <v>0</v>
      </c>
      <c r="M38" s="469">
        <f>J38+150</f>
        <v>44361</v>
      </c>
      <c r="N38" s="352"/>
      <c r="O38" s="352">
        <f>I38-L38</f>
        <v>80000000</v>
      </c>
      <c r="P38" s="469">
        <v>44251</v>
      </c>
      <c r="Q38" s="466" t="s">
        <v>560</v>
      </c>
      <c r="R38" s="470"/>
    </row>
    <row r="39" spans="1:19" s="13" customFormat="1">
      <c r="A39" s="13">
        <v>73</v>
      </c>
      <c r="B39" s="13">
        <v>94</v>
      </c>
      <c r="C39" s="13">
        <v>5311</v>
      </c>
      <c r="D39" s="13" t="s">
        <v>391</v>
      </c>
      <c r="E39" s="13" t="s">
        <v>225</v>
      </c>
      <c r="F39" s="36" t="s">
        <v>579</v>
      </c>
      <c r="G39" s="36" t="s">
        <v>580</v>
      </c>
      <c r="H39" s="420">
        <v>40000000</v>
      </c>
      <c r="I39" s="420">
        <f>H39</f>
        <v>40000000</v>
      </c>
      <c r="J39" s="11">
        <v>44212</v>
      </c>
      <c r="K39" s="11">
        <f>J39+35</f>
        <v>44247</v>
      </c>
      <c r="L39" s="288">
        <v>40000000</v>
      </c>
      <c r="M39" s="11">
        <f>J39+180</f>
        <v>44392</v>
      </c>
      <c r="N39" s="288">
        <v>34180000</v>
      </c>
      <c r="O39" s="288">
        <f>L39-N39</f>
        <v>5820000</v>
      </c>
      <c r="P39" s="11">
        <v>44384</v>
      </c>
      <c r="Q39" s="13" t="s">
        <v>264</v>
      </c>
      <c r="R39" s="440" t="s">
        <v>643</v>
      </c>
    </row>
    <row r="40" spans="1:19" s="5" customFormat="1">
      <c r="A40" s="13">
        <v>74</v>
      </c>
      <c r="B40" s="13">
        <v>95</v>
      </c>
      <c r="C40" s="13" t="s">
        <v>538</v>
      </c>
      <c r="D40" s="13" t="s">
        <v>390</v>
      </c>
      <c r="E40" s="13" t="s">
        <v>581</v>
      </c>
      <c r="F40" s="36" t="s">
        <v>582</v>
      </c>
      <c r="G40" s="36" t="s">
        <v>583</v>
      </c>
      <c r="H40" s="420">
        <v>0</v>
      </c>
      <c r="I40" s="288"/>
      <c r="J40" s="11"/>
      <c r="K40" s="11"/>
      <c r="L40" s="348"/>
      <c r="M40" s="11"/>
      <c r="N40" s="288"/>
      <c r="O40" s="288"/>
      <c r="P40" s="11"/>
      <c r="Q40" s="13" t="s">
        <v>264</v>
      </c>
      <c r="R40" s="93" t="s">
        <v>638</v>
      </c>
      <c r="S40" s="13"/>
    </row>
    <row r="41" spans="1:19" s="466" customFormat="1">
      <c r="A41" s="466">
        <v>75</v>
      </c>
      <c r="B41" s="466">
        <v>75</v>
      </c>
      <c r="C41" s="466">
        <v>5312</v>
      </c>
      <c r="D41" s="466" t="s">
        <v>390</v>
      </c>
      <c r="E41" s="466" t="s">
        <v>361</v>
      </c>
      <c r="F41" s="468" t="s">
        <v>584</v>
      </c>
      <c r="G41" s="468" t="s">
        <v>152</v>
      </c>
      <c r="H41" s="444">
        <v>138305473</v>
      </c>
      <c r="I41" s="352">
        <f>H41</f>
        <v>138305473</v>
      </c>
      <c r="J41" s="469">
        <v>44212</v>
      </c>
      <c r="K41" s="469">
        <f>J41+35</f>
        <v>44247</v>
      </c>
      <c r="L41" s="352">
        <v>138300000</v>
      </c>
      <c r="M41" s="469">
        <f>J41+150</f>
        <v>44362</v>
      </c>
      <c r="N41" s="352">
        <v>0</v>
      </c>
      <c r="O41" s="352">
        <f>I41-N41</f>
        <v>138305473</v>
      </c>
      <c r="P41" s="469">
        <v>44271</v>
      </c>
      <c r="Q41" s="466" t="s">
        <v>560</v>
      </c>
      <c r="R41" s="470"/>
    </row>
    <row r="42" spans="1:19" s="13" customFormat="1">
      <c r="A42" s="13">
        <v>76</v>
      </c>
      <c r="B42" s="13">
        <v>96</v>
      </c>
      <c r="C42" s="13">
        <v>5313</v>
      </c>
      <c r="D42" s="13" t="s">
        <v>390</v>
      </c>
      <c r="E42" s="13" t="s">
        <v>225</v>
      </c>
      <c r="F42" s="36" t="s">
        <v>585</v>
      </c>
      <c r="G42" s="36" t="s">
        <v>586</v>
      </c>
      <c r="H42" s="420">
        <v>50000000</v>
      </c>
      <c r="I42" s="288">
        <f>H42</f>
        <v>50000000</v>
      </c>
      <c r="J42" s="11">
        <v>44218</v>
      </c>
      <c r="K42" s="11">
        <f>J42+35</f>
        <v>44253</v>
      </c>
      <c r="L42" s="288">
        <v>0</v>
      </c>
      <c r="M42" s="11">
        <f>J42+180</f>
        <v>44398</v>
      </c>
      <c r="N42" s="288"/>
      <c r="O42" s="288">
        <f>I42-L42</f>
        <v>50000000</v>
      </c>
      <c r="P42" s="11">
        <v>44244</v>
      </c>
      <c r="Q42" s="13" t="s">
        <v>264</v>
      </c>
      <c r="R42" s="440" t="s">
        <v>650</v>
      </c>
    </row>
    <row r="43" spans="1:19" s="13" customFormat="1">
      <c r="A43" s="13">
        <v>79</v>
      </c>
      <c r="B43" s="13">
        <v>99</v>
      </c>
      <c r="C43" s="13" t="s">
        <v>539</v>
      </c>
      <c r="D43" s="13" t="s">
        <v>390</v>
      </c>
      <c r="E43" s="13" t="s">
        <v>153</v>
      </c>
      <c r="F43" s="36" t="s">
        <v>587</v>
      </c>
      <c r="G43" s="36" t="s">
        <v>81</v>
      </c>
      <c r="H43" s="420">
        <v>0</v>
      </c>
      <c r="I43" s="288"/>
      <c r="J43" s="11"/>
      <c r="K43" s="11"/>
      <c r="L43" s="288"/>
      <c r="M43" s="11"/>
      <c r="N43" s="288"/>
      <c r="O43" s="288"/>
      <c r="P43" s="11"/>
      <c r="Q43" s="13" t="s">
        <v>264</v>
      </c>
      <c r="R43" s="93" t="s">
        <v>644</v>
      </c>
    </row>
    <row r="44" spans="1:19" s="13" customFormat="1">
      <c r="A44" s="13">
        <v>84</v>
      </c>
      <c r="B44" s="13">
        <v>105</v>
      </c>
      <c r="C44" s="13">
        <v>5324</v>
      </c>
      <c r="D44" s="13" t="s">
        <v>390</v>
      </c>
      <c r="E44" s="13" t="s">
        <v>225</v>
      </c>
      <c r="F44" s="36" t="s">
        <v>588</v>
      </c>
      <c r="G44" s="36" t="s">
        <v>348</v>
      </c>
      <c r="H44" s="420">
        <v>69152737</v>
      </c>
      <c r="I44" s="288">
        <f>H44</f>
        <v>69152737</v>
      </c>
      <c r="J44" s="11">
        <v>44247</v>
      </c>
      <c r="K44" s="11">
        <f>J44+35</f>
        <v>44282</v>
      </c>
      <c r="L44" s="420">
        <v>69152737</v>
      </c>
      <c r="M44" s="11">
        <f>J44+180</f>
        <v>44427</v>
      </c>
      <c r="N44" s="288">
        <v>0</v>
      </c>
      <c r="O44" s="288">
        <f>L44-N44</f>
        <v>69152737</v>
      </c>
      <c r="P44" s="11">
        <v>44322</v>
      </c>
      <c r="Q44" s="13" t="s">
        <v>272</v>
      </c>
      <c r="R44" s="93"/>
    </row>
    <row r="45" spans="1:19" s="13" customFormat="1">
      <c r="A45" s="13">
        <v>85</v>
      </c>
      <c r="B45" s="13">
        <v>9</v>
      </c>
      <c r="C45" s="13" t="s">
        <v>540</v>
      </c>
      <c r="D45" s="13" t="s">
        <v>390</v>
      </c>
      <c r="E45" s="13" t="s">
        <v>223</v>
      </c>
      <c r="F45" s="36" t="s">
        <v>589</v>
      </c>
      <c r="G45" s="36" t="s">
        <v>81</v>
      </c>
      <c r="H45" s="420">
        <v>0</v>
      </c>
      <c r="I45" s="288"/>
      <c r="J45" s="11"/>
      <c r="K45" s="11"/>
      <c r="L45" s="348"/>
      <c r="M45" s="11"/>
      <c r="N45" s="288"/>
      <c r="O45" s="288"/>
      <c r="P45" s="11"/>
      <c r="Q45" s="13" t="s">
        <v>242</v>
      </c>
      <c r="R45" s="93"/>
    </row>
    <row r="46" spans="1:19" s="13" customFormat="1">
      <c r="A46" s="13">
        <v>86</v>
      </c>
      <c r="B46" s="13">
        <v>10</v>
      </c>
      <c r="C46" s="13">
        <v>5325</v>
      </c>
      <c r="D46" s="13" t="s">
        <v>390</v>
      </c>
      <c r="E46" s="13" t="s">
        <v>153</v>
      </c>
      <c r="F46" s="36" t="s">
        <v>590</v>
      </c>
      <c r="G46" s="36" t="s">
        <v>81</v>
      </c>
      <c r="H46" s="420">
        <v>40000000</v>
      </c>
      <c r="I46" s="288">
        <f t="shared" ref="I46:I52" si="9">H46</f>
        <v>40000000</v>
      </c>
      <c r="J46" s="11">
        <v>44247</v>
      </c>
      <c r="K46" s="11">
        <f t="shared" ref="K46:K52" si="10">J46+35</f>
        <v>44282</v>
      </c>
      <c r="L46" s="288">
        <v>0</v>
      </c>
      <c r="M46" s="11">
        <f>J46+180</f>
        <v>44427</v>
      </c>
      <c r="N46" s="288">
        <v>0</v>
      </c>
      <c r="O46" s="288">
        <f>I46-L46</f>
        <v>40000000</v>
      </c>
      <c r="P46" s="11">
        <v>44285</v>
      </c>
      <c r="Q46" s="13" t="s">
        <v>242</v>
      </c>
      <c r="R46" s="93"/>
    </row>
    <row r="47" spans="1:19" s="466" customFormat="1">
      <c r="A47" s="466">
        <v>87</v>
      </c>
      <c r="B47" s="466">
        <v>87</v>
      </c>
      <c r="C47" s="466">
        <v>5337</v>
      </c>
      <c r="D47" s="466" t="s">
        <v>390</v>
      </c>
      <c r="E47" s="466" t="s">
        <v>365</v>
      </c>
      <c r="F47" s="468" t="s">
        <v>366</v>
      </c>
      <c r="G47" s="468" t="s">
        <v>367</v>
      </c>
      <c r="H47" s="444">
        <v>100000000</v>
      </c>
      <c r="I47" s="352">
        <f t="shared" si="9"/>
        <v>100000000</v>
      </c>
      <c r="J47" s="469">
        <v>44271</v>
      </c>
      <c r="K47" s="469">
        <f t="shared" si="10"/>
        <v>44306</v>
      </c>
      <c r="L47" s="352">
        <v>0</v>
      </c>
      <c r="M47" s="469">
        <f>J47+150</f>
        <v>44421</v>
      </c>
      <c r="N47" s="352">
        <v>0</v>
      </c>
      <c r="O47" s="352">
        <f>I47-N47</f>
        <v>100000000</v>
      </c>
      <c r="P47" s="469">
        <v>44289</v>
      </c>
      <c r="Q47" s="466" t="s">
        <v>560</v>
      </c>
      <c r="R47" s="470"/>
    </row>
    <row r="48" spans="1:19" s="13" customFormat="1">
      <c r="A48" s="13">
        <v>88</v>
      </c>
      <c r="B48" s="13">
        <v>12</v>
      </c>
      <c r="C48" s="13">
        <v>5338</v>
      </c>
      <c r="D48" s="13" t="s">
        <v>390</v>
      </c>
      <c r="E48" s="13" t="s">
        <v>153</v>
      </c>
      <c r="F48" s="36" t="s">
        <v>591</v>
      </c>
      <c r="G48" s="36" t="s">
        <v>81</v>
      </c>
      <c r="H48" s="420">
        <v>45000000</v>
      </c>
      <c r="I48" s="288">
        <f t="shared" si="9"/>
        <v>45000000</v>
      </c>
      <c r="J48" s="11">
        <v>44271</v>
      </c>
      <c r="K48" s="11">
        <f t="shared" si="10"/>
        <v>44306</v>
      </c>
      <c r="L48" s="288">
        <v>45000000</v>
      </c>
      <c r="M48" s="11">
        <f>J48+180</f>
        <v>44451</v>
      </c>
      <c r="N48" s="288">
        <v>0</v>
      </c>
      <c r="O48" s="352">
        <f>I48-N48</f>
        <v>45000000</v>
      </c>
      <c r="P48" s="11">
        <v>44345</v>
      </c>
      <c r="Q48" s="13" t="s">
        <v>242</v>
      </c>
      <c r="R48" s="93"/>
    </row>
    <row r="49" spans="1:19" s="466" customFormat="1">
      <c r="A49" s="466">
        <v>89</v>
      </c>
      <c r="B49" s="466">
        <v>89</v>
      </c>
      <c r="C49" s="466">
        <v>5339</v>
      </c>
      <c r="D49" s="466" t="s">
        <v>719</v>
      </c>
      <c r="E49" s="466" t="s">
        <v>83</v>
      </c>
      <c r="F49" s="468" t="s">
        <v>592</v>
      </c>
      <c r="G49" s="468" t="s">
        <v>148</v>
      </c>
      <c r="H49" s="444">
        <v>80000000</v>
      </c>
      <c r="I49" s="352">
        <f t="shared" si="9"/>
        <v>80000000</v>
      </c>
      <c r="J49" s="469">
        <v>44271</v>
      </c>
      <c r="K49" s="469">
        <f t="shared" si="10"/>
        <v>44306</v>
      </c>
      <c r="L49" s="352">
        <v>0</v>
      </c>
      <c r="M49" s="469">
        <f>J49+150</f>
        <v>44421</v>
      </c>
      <c r="N49" s="352">
        <v>0</v>
      </c>
      <c r="O49" s="352">
        <f>I49-N49</f>
        <v>80000000</v>
      </c>
      <c r="P49" s="469">
        <v>44310</v>
      </c>
      <c r="Q49" s="466" t="s">
        <v>560</v>
      </c>
      <c r="R49" s="470"/>
    </row>
    <row r="50" spans="1:19" s="13" customFormat="1">
      <c r="A50" s="13">
        <v>92</v>
      </c>
      <c r="B50" s="13">
        <v>108</v>
      </c>
      <c r="C50" s="13">
        <v>5343</v>
      </c>
      <c r="D50" s="13" t="s">
        <v>391</v>
      </c>
      <c r="E50" s="13" t="s">
        <v>581</v>
      </c>
      <c r="F50" s="36" t="s">
        <v>593</v>
      </c>
      <c r="G50" s="36" t="s">
        <v>583</v>
      </c>
      <c r="H50" s="420">
        <v>44200000</v>
      </c>
      <c r="I50" s="67">
        <f t="shared" si="9"/>
        <v>44200000</v>
      </c>
      <c r="J50" s="11">
        <v>44286</v>
      </c>
      <c r="K50" s="11">
        <f t="shared" si="10"/>
        <v>44321</v>
      </c>
      <c r="L50" s="288">
        <v>44200000</v>
      </c>
      <c r="M50" s="11">
        <f>J50+180</f>
        <v>44466</v>
      </c>
      <c r="N50" s="288">
        <v>44200000</v>
      </c>
      <c r="O50" s="288">
        <f>L50-N50</f>
        <v>0</v>
      </c>
      <c r="P50" s="11">
        <v>44468</v>
      </c>
      <c r="Q50" s="13" t="s">
        <v>272</v>
      </c>
      <c r="R50" s="551"/>
    </row>
    <row r="51" spans="1:19" s="13" customFormat="1">
      <c r="A51" s="13">
        <v>93</v>
      </c>
      <c r="B51" s="13">
        <v>16</v>
      </c>
      <c r="C51" s="13">
        <v>5344</v>
      </c>
      <c r="D51" s="13" t="s">
        <v>390</v>
      </c>
      <c r="E51" s="13" t="s">
        <v>623</v>
      </c>
      <c r="F51" s="36" t="s">
        <v>594</v>
      </c>
      <c r="G51" s="36" t="s">
        <v>81</v>
      </c>
      <c r="H51" s="420">
        <v>50000000</v>
      </c>
      <c r="I51" s="288">
        <f t="shared" si="9"/>
        <v>50000000</v>
      </c>
      <c r="J51" s="11">
        <v>44294</v>
      </c>
      <c r="K51" s="11">
        <f t="shared" si="10"/>
        <v>44329</v>
      </c>
      <c r="L51" s="288">
        <v>0</v>
      </c>
      <c r="M51" s="11">
        <f>J51+180</f>
        <v>44474</v>
      </c>
      <c r="N51" s="288">
        <v>0</v>
      </c>
      <c r="O51" s="288">
        <f>I51-N51</f>
        <v>50000000</v>
      </c>
      <c r="P51" s="11">
        <v>44315</v>
      </c>
      <c r="Q51" s="13" t="s">
        <v>242</v>
      </c>
      <c r="R51" s="93"/>
    </row>
    <row r="52" spans="1:19" s="13" customFormat="1">
      <c r="A52" s="13">
        <v>94</v>
      </c>
      <c r="B52" s="13">
        <v>19</v>
      </c>
      <c r="C52" s="13">
        <v>5345</v>
      </c>
      <c r="D52" s="13" t="s">
        <v>390</v>
      </c>
      <c r="E52" s="13" t="s">
        <v>153</v>
      </c>
      <c r="F52" s="36" t="s">
        <v>595</v>
      </c>
      <c r="G52" s="36" t="s">
        <v>81</v>
      </c>
      <c r="H52" s="420">
        <v>50000000</v>
      </c>
      <c r="I52" s="288">
        <f t="shared" si="9"/>
        <v>50000000</v>
      </c>
      <c r="J52" s="11">
        <v>44294</v>
      </c>
      <c r="K52" s="11">
        <f t="shared" si="10"/>
        <v>44329</v>
      </c>
      <c r="L52" s="288">
        <v>0</v>
      </c>
      <c r="M52" s="11">
        <f>J52+180</f>
        <v>44474</v>
      </c>
      <c r="N52" s="288">
        <v>0</v>
      </c>
      <c r="O52" s="288">
        <f>I52-N52</f>
        <v>50000000</v>
      </c>
      <c r="P52" s="11">
        <v>44306</v>
      </c>
      <c r="Q52" s="13" t="s">
        <v>242</v>
      </c>
      <c r="R52" s="93"/>
    </row>
    <row r="53" spans="1:19" s="13" customFormat="1">
      <c r="A53" s="13">
        <v>95</v>
      </c>
      <c r="B53" s="13">
        <v>21</v>
      </c>
      <c r="C53" s="13" t="s">
        <v>541</v>
      </c>
      <c r="D53" s="13" t="s">
        <v>390</v>
      </c>
      <c r="E53" s="13" t="s">
        <v>223</v>
      </c>
      <c r="F53" s="36" t="s">
        <v>279</v>
      </c>
      <c r="G53" s="36" t="s">
        <v>81</v>
      </c>
      <c r="H53" s="420">
        <v>0</v>
      </c>
      <c r="I53" s="288"/>
      <c r="J53" s="11"/>
      <c r="K53" s="11"/>
      <c r="L53" s="288"/>
      <c r="M53" s="11"/>
      <c r="N53" s="288"/>
      <c r="O53" s="288"/>
      <c r="P53" s="11"/>
      <c r="Q53" s="13" t="s">
        <v>242</v>
      </c>
      <c r="R53" s="93"/>
    </row>
    <row r="54" spans="1:19" s="13" customFormat="1">
      <c r="A54" s="13">
        <v>96</v>
      </c>
      <c r="B54" s="13">
        <v>23</v>
      </c>
      <c r="C54" s="13">
        <v>5346</v>
      </c>
      <c r="D54" s="13" t="s">
        <v>390</v>
      </c>
      <c r="E54" s="13" t="s">
        <v>623</v>
      </c>
      <c r="F54" s="36" t="s">
        <v>596</v>
      </c>
      <c r="G54" s="36" t="s">
        <v>81</v>
      </c>
      <c r="H54" s="420">
        <v>50000000</v>
      </c>
      <c r="I54" s="288">
        <f>H54</f>
        <v>50000000</v>
      </c>
      <c r="J54" s="11">
        <v>44294</v>
      </c>
      <c r="K54" s="11">
        <f>J54+35</f>
        <v>44329</v>
      </c>
      <c r="L54" s="288">
        <v>0</v>
      </c>
      <c r="M54" s="11">
        <f>J54+180</f>
        <v>44474</v>
      </c>
      <c r="N54" s="288">
        <v>0</v>
      </c>
      <c r="O54" s="288">
        <f>I54-N54</f>
        <v>50000000</v>
      </c>
      <c r="P54" s="11">
        <v>44315</v>
      </c>
      <c r="Q54" s="13" t="s">
        <v>242</v>
      </c>
      <c r="R54" s="93"/>
    </row>
    <row r="55" spans="1:19" s="13" customFormat="1">
      <c r="A55" s="13">
        <v>97</v>
      </c>
      <c r="B55" s="13">
        <v>25</v>
      </c>
      <c r="C55" s="13">
        <v>5350</v>
      </c>
      <c r="D55" s="13" t="s">
        <v>390</v>
      </c>
      <c r="E55" s="13" t="s">
        <v>223</v>
      </c>
      <c r="F55" s="36" t="s">
        <v>597</v>
      </c>
      <c r="G55" s="36" t="s">
        <v>81</v>
      </c>
      <c r="H55" s="420">
        <v>60000000</v>
      </c>
      <c r="I55" s="288">
        <f>H55</f>
        <v>60000000</v>
      </c>
      <c r="J55" s="11">
        <v>44302</v>
      </c>
      <c r="K55" s="11">
        <f>J55+35</f>
        <v>44337</v>
      </c>
      <c r="L55" s="288">
        <v>60000000</v>
      </c>
      <c r="M55" s="11">
        <f>J55+180</f>
        <v>44482</v>
      </c>
      <c r="N55" s="288">
        <v>0</v>
      </c>
      <c r="O55" s="288">
        <f>L55-N55</f>
        <v>60000000</v>
      </c>
      <c r="P55" s="11">
        <v>44397</v>
      </c>
      <c r="Q55" s="13" t="s">
        <v>242</v>
      </c>
      <c r="R55" s="93" t="s">
        <v>714</v>
      </c>
      <c r="S55" s="466" t="s">
        <v>718</v>
      </c>
    </row>
    <row r="56" spans="1:19" s="13" customFormat="1">
      <c r="A56" s="13">
        <v>98</v>
      </c>
      <c r="B56" s="13">
        <v>109</v>
      </c>
      <c r="C56" s="13" t="s">
        <v>542</v>
      </c>
      <c r="D56" s="13" t="s">
        <v>390</v>
      </c>
      <c r="E56" s="13" t="s">
        <v>225</v>
      </c>
      <c r="F56" s="36" t="s">
        <v>369</v>
      </c>
      <c r="G56" s="36" t="s">
        <v>320</v>
      </c>
      <c r="H56" s="420">
        <v>0</v>
      </c>
      <c r="I56" s="288"/>
      <c r="J56" s="11"/>
      <c r="K56" s="11"/>
      <c r="L56" s="288"/>
      <c r="M56" s="11"/>
      <c r="N56" s="288"/>
      <c r="O56" s="288"/>
      <c r="P56" s="11"/>
      <c r="Q56" s="13" t="s">
        <v>272</v>
      </c>
      <c r="R56" s="93" t="s">
        <v>715</v>
      </c>
    </row>
    <row r="57" spans="1:19" s="13" customFormat="1">
      <c r="A57" s="13">
        <v>99</v>
      </c>
      <c r="B57" s="13">
        <v>26</v>
      </c>
      <c r="C57" s="13">
        <v>5352</v>
      </c>
      <c r="D57" s="13" t="s">
        <v>391</v>
      </c>
      <c r="E57" s="13" t="s">
        <v>223</v>
      </c>
      <c r="F57" s="36" t="s">
        <v>598</v>
      </c>
      <c r="G57" s="36" t="s">
        <v>81</v>
      </c>
      <c r="H57" s="420">
        <v>40000000</v>
      </c>
      <c r="I57" s="288">
        <f>H57</f>
        <v>40000000</v>
      </c>
      <c r="J57" s="11">
        <v>44308</v>
      </c>
      <c r="K57" s="11">
        <f>J57+35</f>
        <v>44343</v>
      </c>
      <c r="L57" s="288">
        <v>40000000</v>
      </c>
      <c r="M57" s="11">
        <f>J57+180</f>
        <v>44488</v>
      </c>
      <c r="N57" s="288">
        <v>37500000</v>
      </c>
      <c r="O57" s="288">
        <f>L57-N57</f>
        <v>2500000</v>
      </c>
      <c r="P57" s="11">
        <v>44496</v>
      </c>
      <c r="Q57" s="13" t="s">
        <v>242</v>
      </c>
      <c r="R57" s="93"/>
    </row>
    <row r="58" spans="1:19" s="5" customFormat="1">
      <c r="A58" s="13">
        <v>101</v>
      </c>
      <c r="B58" s="13">
        <v>27</v>
      </c>
      <c r="C58" s="13" t="s">
        <v>543</v>
      </c>
      <c r="D58" s="13" t="s">
        <v>390</v>
      </c>
      <c r="E58" s="13" t="s">
        <v>153</v>
      </c>
      <c r="F58" s="36" t="s">
        <v>403</v>
      </c>
      <c r="G58" s="36" t="s">
        <v>81</v>
      </c>
      <c r="H58" s="420">
        <v>0</v>
      </c>
      <c r="I58" s="288"/>
      <c r="J58" s="11"/>
      <c r="K58" s="11"/>
      <c r="L58" s="288"/>
      <c r="M58" s="11"/>
      <c r="N58" s="288"/>
      <c r="O58" s="288"/>
      <c r="P58" s="11"/>
      <c r="Q58" s="13" t="s">
        <v>242</v>
      </c>
      <c r="R58" s="93"/>
      <c r="S58" s="13"/>
    </row>
    <row r="59" spans="1:19" s="5" customFormat="1">
      <c r="A59" s="13">
        <v>102</v>
      </c>
      <c r="B59" s="13">
        <v>29</v>
      </c>
      <c r="C59" s="13" t="s">
        <v>544</v>
      </c>
      <c r="D59" s="13" t="s">
        <v>390</v>
      </c>
      <c r="E59" s="13" t="s">
        <v>223</v>
      </c>
      <c r="F59" s="36" t="s">
        <v>599</v>
      </c>
      <c r="G59" s="36" t="s">
        <v>81</v>
      </c>
      <c r="H59" s="420">
        <v>0</v>
      </c>
      <c r="I59" s="288"/>
      <c r="J59" s="11"/>
      <c r="K59" s="11"/>
      <c r="L59" s="288"/>
      <c r="M59" s="11"/>
      <c r="N59" s="288"/>
      <c r="O59" s="288"/>
      <c r="P59" s="11"/>
      <c r="Q59" s="13" t="s">
        <v>242</v>
      </c>
      <c r="R59" s="93"/>
      <c r="S59" s="13"/>
    </row>
    <row r="60" spans="1:19" s="466" customFormat="1">
      <c r="A60" s="466">
        <v>103</v>
      </c>
      <c r="B60" s="466">
        <v>103</v>
      </c>
      <c r="C60" s="466">
        <v>5353</v>
      </c>
      <c r="D60" s="466" t="s">
        <v>390</v>
      </c>
      <c r="E60" s="466" t="s">
        <v>83</v>
      </c>
      <c r="F60" s="468" t="s">
        <v>600</v>
      </c>
      <c r="G60" s="468" t="s">
        <v>352</v>
      </c>
      <c r="H60" s="444">
        <v>100000000</v>
      </c>
      <c r="I60" s="352">
        <f>H60</f>
        <v>100000000</v>
      </c>
      <c r="J60" s="469">
        <v>44308</v>
      </c>
      <c r="K60" s="469">
        <f>J60+35</f>
        <v>44343</v>
      </c>
      <c r="L60" s="352">
        <v>0</v>
      </c>
      <c r="M60" s="469">
        <f>J60+150</f>
        <v>44458</v>
      </c>
      <c r="N60" s="352">
        <v>0</v>
      </c>
      <c r="O60" s="352">
        <f>I60-L60</f>
        <v>100000000</v>
      </c>
      <c r="P60" s="469">
        <v>44327</v>
      </c>
      <c r="Q60" s="466" t="s">
        <v>560</v>
      </c>
      <c r="R60" s="470"/>
    </row>
    <row r="61" spans="1:19" s="13" customFormat="1">
      <c r="A61" s="13">
        <v>107</v>
      </c>
      <c r="B61" s="13">
        <v>35</v>
      </c>
      <c r="C61" s="13" t="s">
        <v>545</v>
      </c>
      <c r="D61" s="13" t="s">
        <v>390</v>
      </c>
      <c r="E61" s="13" t="s">
        <v>223</v>
      </c>
      <c r="F61" s="36" t="s">
        <v>601</v>
      </c>
      <c r="G61" s="36" t="s">
        <v>81</v>
      </c>
      <c r="H61" s="420">
        <v>0</v>
      </c>
      <c r="I61" s="288"/>
      <c r="J61" s="11"/>
      <c r="K61" s="11"/>
      <c r="L61" s="288"/>
      <c r="M61" s="11"/>
      <c r="N61" s="348"/>
      <c r="O61" s="348"/>
      <c r="P61" s="11"/>
      <c r="Q61" s="13" t="s">
        <v>242</v>
      </c>
      <c r="R61" s="11"/>
    </row>
    <row r="62" spans="1:19" s="13" customFormat="1">
      <c r="A62" s="13">
        <v>110</v>
      </c>
      <c r="B62" s="13">
        <v>38</v>
      </c>
      <c r="C62" s="13">
        <v>5354</v>
      </c>
      <c r="D62" s="13" t="s">
        <v>390</v>
      </c>
      <c r="E62" s="13" t="s">
        <v>624</v>
      </c>
      <c r="F62" s="36" t="s">
        <v>602</v>
      </c>
      <c r="G62" s="36" t="s">
        <v>211</v>
      </c>
      <c r="H62" s="420">
        <v>20000000</v>
      </c>
      <c r="I62" s="288">
        <f>H62</f>
        <v>20000000</v>
      </c>
      <c r="J62" s="11">
        <v>44308</v>
      </c>
      <c r="K62" s="11">
        <f>J62+35</f>
        <v>44343</v>
      </c>
      <c r="L62" s="288">
        <v>0</v>
      </c>
      <c r="M62" s="11">
        <f>J62+180</f>
        <v>44488</v>
      </c>
      <c r="N62" s="288">
        <v>0</v>
      </c>
      <c r="O62" s="288">
        <f>I62-N62</f>
        <v>20000000</v>
      </c>
      <c r="P62" s="11">
        <v>44310</v>
      </c>
      <c r="Q62" s="13" t="s">
        <v>242</v>
      </c>
      <c r="R62" s="93"/>
    </row>
    <row r="63" spans="1:19" s="13" customFormat="1">
      <c r="A63" s="13">
        <v>111</v>
      </c>
      <c r="B63" s="13">
        <v>41</v>
      </c>
      <c r="C63" s="13">
        <v>5355</v>
      </c>
      <c r="D63" s="13" t="s">
        <v>390</v>
      </c>
      <c r="E63" s="13" t="s">
        <v>226</v>
      </c>
      <c r="F63" s="36" t="s">
        <v>603</v>
      </c>
      <c r="G63" s="36" t="s">
        <v>233</v>
      </c>
      <c r="H63" s="420">
        <v>35000000</v>
      </c>
      <c r="I63" s="288">
        <f>H63</f>
        <v>35000000</v>
      </c>
      <c r="J63" s="11">
        <v>44313</v>
      </c>
      <c r="K63" s="11">
        <f>J63+35</f>
        <v>44348</v>
      </c>
      <c r="L63" s="288">
        <v>0</v>
      </c>
      <c r="M63" s="11">
        <f>J63+180</f>
        <v>44493</v>
      </c>
      <c r="N63" s="348">
        <v>0</v>
      </c>
      <c r="O63" s="288">
        <f>I63-N63</f>
        <v>35000000</v>
      </c>
      <c r="P63" s="11">
        <v>44342</v>
      </c>
      <c r="Q63" s="13" t="s">
        <v>242</v>
      </c>
      <c r="R63" s="93"/>
    </row>
    <row r="64" spans="1:19" s="466" customFormat="1">
      <c r="A64" s="466">
        <v>113</v>
      </c>
      <c r="B64" s="466">
        <v>113</v>
      </c>
      <c r="C64" s="466">
        <v>5356</v>
      </c>
      <c r="D64" s="466" t="s">
        <v>390</v>
      </c>
      <c r="E64" s="466" t="s">
        <v>83</v>
      </c>
      <c r="F64" s="468" t="s">
        <v>604</v>
      </c>
      <c r="G64" s="468" t="s">
        <v>355</v>
      </c>
      <c r="H64" s="444">
        <v>100000000</v>
      </c>
      <c r="I64" s="352">
        <f>H64</f>
        <v>100000000</v>
      </c>
      <c r="J64" s="469">
        <v>44313</v>
      </c>
      <c r="K64" s="469">
        <f>J64+35</f>
        <v>44348</v>
      </c>
      <c r="L64" s="352">
        <v>0</v>
      </c>
      <c r="M64" s="469">
        <f>J64+150</f>
        <v>44463</v>
      </c>
      <c r="N64" s="352">
        <v>0</v>
      </c>
      <c r="O64" s="352">
        <f>I64-N64</f>
        <v>100000000</v>
      </c>
      <c r="P64" s="469">
        <v>44338</v>
      </c>
      <c r="Q64" s="466" t="s">
        <v>560</v>
      </c>
      <c r="R64" s="470"/>
    </row>
    <row r="65" spans="1:19" s="13" customFormat="1">
      <c r="A65" s="13">
        <v>114</v>
      </c>
      <c r="B65" s="13">
        <v>117</v>
      </c>
      <c r="C65" s="13" t="s">
        <v>546</v>
      </c>
      <c r="D65" s="13" t="s">
        <v>390</v>
      </c>
      <c r="E65" s="13" t="s">
        <v>314</v>
      </c>
      <c r="F65" s="36" t="s">
        <v>605</v>
      </c>
      <c r="G65" s="36" t="s">
        <v>80</v>
      </c>
      <c r="H65" s="420">
        <v>0</v>
      </c>
      <c r="I65" s="288"/>
      <c r="J65" s="11"/>
      <c r="K65" s="11"/>
      <c r="L65" s="288"/>
      <c r="M65" s="11"/>
      <c r="N65" s="288"/>
      <c r="O65" s="288"/>
      <c r="P65" s="11"/>
      <c r="Q65" s="13" t="s">
        <v>272</v>
      </c>
      <c r="R65" s="93"/>
    </row>
    <row r="66" spans="1:19" s="13" customFormat="1">
      <c r="A66" s="13">
        <v>116</v>
      </c>
      <c r="B66" s="13">
        <v>43</v>
      </c>
      <c r="C66" s="13">
        <v>5357</v>
      </c>
      <c r="D66" s="13" t="s">
        <v>390</v>
      </c>
      <c r="E66" s="13" t="s">
        <v>223</v>
      </c>
      <c r="F66" s="36" t="s">
        <v>606</v>
      </c>
      <c r="G66" s="36" t="s">
        <v>81</v>
      </c>
      <c r="H66" s="420">
        <v>40000000</v>
      </c>
      <c r="I66" s="288">
        <f>H66</f>
        <v>40000000</v>
      </c>
      <c r="J66" s="11">
        <v>44313</v>
      </c>
      <c r="K66" s="11">
        <f>J66+35</f>
        <v>44348</v>
      </c>
      <c r="L66" s="288">
        <v>0</v>
      </c>
      <c r="M66" s="11">
        <f>J66+180</f>
        <v>44493</v>
      </c>
      <c r="N66" s="288">
        <v>0</v>
      </c>
      <c r="O66" s="288">
        <f>I66-N66</f>
        <v>40000000</v>
      </c>
      <c r="P66" s="11">
        <v>44315</v>
      </c>
      <c r="Q66" s="13" t="s">
        <v>242</v>
      </c>
      <c r="R66" s="93"/>
    </row>
    <row r="67" spans="1:19" s="13" customFormat="1">
      <c r="A67" s="13">
        <v>118</v>
      </c>
      <c r="B67" s="13">
        <v>46</v>
      </c>
      <c r="C67" s="13">
        <v>5358</v>
      </c>
      <c r="D67" s="13" t="s">
        <v>390</v>
      </c>
      <c r="E67" s="13" t="s">
        <v>153</v>
      </c>
      <c r="F67" s="36" t="s">
        <v>607</v>
      </c>
      <c r="G67" s="36" t="s">
        <v>81</v>
      </c>
      <c r="H67" s="420">
        <v>12000000</v>
      </c>
      <c r="I67" s="564">
        <f>H67</f>
        <v>12000000</v>
      </c>
      <c r="J67" s="11">
        <v>44314</v>
      </c>
      <c r="K67" s="11">
        <f>J67+35</f>
        <v>44349</v>
      </c>
      <c r="L67" s="288">
        <v>12000000</v>
      </c>
      <c r="M67" s="11">
        <f>J67+180</f>
        <v>44494</v>
      </c>
      <c r="N67" s="288">
        <v>0</v>
      </c>
      <c r="O67" s="288">
        <f>I67-N67</f>
        <v>12000000</v>
      </c>
      <c r="P67" s="11">
        <v>44523</v>
      </c>
      <c r="Q67" s="13" t="s">
        <v>242</v>
      </c>
      <c r="R67" s="11"/>
      <c r="S67" s="466" t="s">
        <v>720</v>
      </c>
    </row>
    <row r="68" spans="1:19" s="13" customFormat="1">
      <c r="A68" s="13">
        <v>119</v>
      </c>
      <c r="B68" s="13">
        <v>47</v>
      </c>
      <c r="C68" s="13">
        <v>5359</v>
      </c>
      <c r="D68" s="13" t="s">
        <v>390</v>
      </c>
      <c r="E68" s="13" t="s">
        <v>223</v>
      </c>
      <c r="F68" s="36" t="s">
        <v>608</v>
      </c>
      <c r="G68" s="36" t="s">
        <v>81</v>
      </c>
      <c r="H68" s="420">
        <v>35000000</v>
      </c>
      <c r="I68" s="288">
        <f>H68</f>
        <v>35000000</v>
      </c>
      <c r="J68" s="11">
        <v>44314</v>
      </c>
      <c r="K68" s="11">
        <f>J68+35</f>
        <v>44349</v>
      </c>
      <c r="L68" s="288">
        <v>0</v>
      </c>
      <c r="M68" s="11">
        <f>J68+180</f>
        <v>44494</v>
      </c>
      <c r="N68" s="288">
        <v>0</v>
      </c>
      <c r="O68" s="288">
        <f>I68-N68</f>
        <v>35000000</v>
      </c>
      <c r="P68" s="11">
        <v>44336</v>
      </c>
      <c r="Q68" s="13" t="s">
        <v>242</v>
      </c>
      <c r="R68" s="11"/>
    </row>
    <row r="69" spans="1:19" s="13" customFormat="1">
      <c r="A69" s="13" t="s">
        <v>146</v>
      </c>
      <c r="B69" s="13" t="s">
        <v>146</v>
      </c>
      <c r="C69" s="13">
        <v>5360</v>
      </c>
      <c r="D69" s="13" t="s">
        <v>390</v>
      </c>
      <c r="E69" s="13" t="s">
        <v>236</v>
      </c>
      <c r="F69" s="36" t="s">
        <v>283</v>
      </c>
      <c r="G69" s="36" t="s">
        <v>80</v>
      </c>
      <c r="H69" s="420">
        <v>40000000</v>
      </c>
      <c r="I69" s="288">
        <f>H69</f>
        <v>40000000</v>
      </c>
      <c r="J69" s="11">
        <v>44314</v>
      </c>
      <c r="K69" s="11">
        <f>J69+35</f>
        <v>44349</v>
      </c>
      <c r="L69" s="288">
        <v>0</v>
      </c>
      <c r="M69" s="11">
        <f>J69+180</f>
        <v>44494</v>
      </c>
      <c r="N69" s="288">
        <v>0</v>
      </c>
      <c r="O69" s="288">
        <f>I69-N69</f>
        <v>40000000</v>
      </c>
      <c r="P69" s="11">
        <v>44315</v>
      </c>
      <c r="Q69" s="13" t="s">
        <v>272</v>
      </c>
      <c r="R69" s="11"/>
      <c r="S69" s="466" t="s">
        <v>721</v>
      </c>
    </row>
    <row r="70" spans="1:19" s="13" customFormat="1">
      <c r="A70" s="13" t="s">
        <v>146</v>
      </c>
      <c r="B70" s="13" t="s">
        <v>146</v>
      </c>
      <c r="C70" s="13" t="s">
        <v>547</v>
      </c>
      <c r="D70" s="13" t="s">
        <v>390</v>
      </c>
      <c r="E70" s="13" t="s">
        <v>158</v>
      </c>
      <c r="F70" s="36" t="s">
        <v>609</v>
      </c>
      <c r="G70" s="36" t="s">
        <v>275</v>
      </c>
      <c r="H70" s="420">
        <v>0</v>
      </c>
      <c r="I70" s="288"/>
      <c r="J70" s="11"/>
      <c r="K70" s="11"/>
      <c r="L70" s="288"/>
      <c r="M70" s="11"/>
      <c r="N70" s="288"/>
      <c r="O70" s="288"/>
      <c r="P70" s="11"/>
      <c r="Q70" s="13" t="s">
        <v>272</v>
      </c>
      <c r="R70" s="11"/>
    </row>
    <row r="71" spans="1:19" s="466" customFormat="1">
      <c r="A71" s="466" t="s">
        <v>146</v>
      </c>
      <c r="B71" s="466" t="s">
        <v>146</v>
      </c>
      <c r="C71" s="466">
        <v>5351</v>
      </c>
      <c r="D71" s="466" t="s">
        <v>391</v>
      </c>
      <c r="E71" s="466" t="s">
        <v>83</v>
      </c>
      <c r="F71" s="468" t="s">
        <v>610</v>
      </c>
      <c r="G71" s="468" t="s">
        <v>274</v>
      </c>
      <c r="H71" s="444">
        <v>35000000</v>
      </c>
      <c r="I71" s="352">
        <f t="shared" ref="I71:I77" si="11">H71</f>
        <v>35000000</v>
      </c>
      <c r="J71" s="469">
        <v>44302</v>
      </c>
      <c r="K71" s="469">
        <f t="shared" ref="K71:K78" si="12">J71+35</f>
        <v>44337</v>
      </c>
      <c r="L71" s="352">
        <v>25000000</v>
      </c>
      <c r="M71" s="469">
        <f>J71+150</f>
        <v>44452</v>
      </c>
      <c r="N71" s="520">
        <v>0</v>
      </c>
      <c r="O71" s="352">
        <f>I71-N71</f>
        <v>35000000</v>
      </c>
      <c r="P71" s="469">
        <v>44454</v>
      </c>
      <c r="Q71" s="466" t="s">
        <v>560</v>
      </c>
      <c r="R71" s="469"/>
      <c r="S71" s="466" t="s">
        <v>717</v>
      </c>
    </row>
    <row r="72" spans="1:19" s="466" customFormat="1">
      <c r="A72" s="466" t="s">
        <v>146</v>
      </c>
      <c r="B72" s="466" t="s">
        <v>146</v>
      </c>
      <c r="C72" s="466">
        <v>5361</v>
      </c>
      <c r="D72" s="466" t="s">
        <v>391</v>
      </c>
      <c r="E72" s="466" t="s">
        <v>364</v>
      </c>
      <c r="F72" s="468" t="s">
        <v>550</v>
      </c>
      <c r="G72" s="468" t="s">
        <v>152</v>
      </c>
      <c r="H72" s="444">
        <v>100000000</v>
      </c>
      <c r="I72" s="352">
        <f t="shared" si="11"/>
        <v>100000000</v>
      </c>
      <c r="J72" s="469">
        <v>44322</v>
      </c>
      <c r="K72" s="469">
        <f t="shared" si="12"/>
        <v>44357</v>
      </c>
      <c r="L72" s="352">
        <v>100000000</v>
      </c>
      <c r="M72" s="469">
        <f>J72+150</f>
        <v>44472</v>
      </c>
      <c r="N72" s="520">
        <v>99998504.5</v>
      </c>
      <c r="O72" s="520">
        <f>L72-N72</f>
        <v>1495.5</v>
      </c>
      <c r="P72" s="469">
        <v>44441</v>
      </c>
      <c r="Q72" s="466" t="s">
        <v>560</v>
      </c>
      <c r="R72" s="469"/>
    </row>
    <row r="73" spans="1:19" s="13" customFormat="1">
      <c r="A73" s="13" t="s">
        <v>146</v>
      </c>
      <c r="B73" s="13" t="s">
        <v>146</v>
      </c>
      <c r="C73" s="13">
        <v>5362</v>
      </c>
      <c r="D73" s="13" t="s">
        <v>390</v>
      </c>
      <c r="E73" s="13" t="s">
        <v>573</v>
      </c>
      <c r="F73" s="36" t="s">
        <v>611</v>
      </c>
      <c r="G73" s="36" t="s">
        <v>95</v>
      </c>
      <c r="H73" s="420">
        <v>63000000</v>
      </c>
      <c r="I73" s="288">
        <f t="shared" si="11"/>
        <v>63000000</v>
      </c>
      <c r="J73" s="11">
        <v>44322</v>
      </c>
      <c r="K73" s="11">
        <f t="shared" si="12"/>
        <v>44357</v>
      </c>
      <c r="L73" s="288">
        <v>0</v>
      </c>
      <c r="M73" s="11">
        <f t="shared" ref="M73:M85" si="13">J73+180</f>
        <v>44502</v>
      </c>
      <c r="N73" s="288">
        <v>0</v>
      </c>
      <c r="O73" s="288">
        <f>I73-L73</f>
        <v>63000000</v>
      </c>
      <c r="P73" s="11">
        <v>44357</v>
      </c>
      <c r="Q73" s="13" t="s">
        <v>272</v>
      </c>
      <c r="R73" s="93"/>
    </row>
    <row r="74" spans="1:19" s="13" customFormat="1">
      <c r="A74" s="13" t="s">
        <v>146</v>
      </c>
      <c r="B74" s="13" t="s">
        <v>146</v>
      </c>
      <c r="C74" s="13">
        <v>5363</v>
      </c>
      <c r="D74" s="13" t="s">
        <v>391</v>
      </c>
      <c r="E74" s="13" t="s">
        <v>278</v>
      </c>
      <c r="F74" s="36" t="s">
        <v>356</v>
      </c>
      <c r="G74" s="36" t="s">
        <v>79</v>
      </c>
      <c r="H74" s="420">
        <v>40000000</v>
      </c>
      <c r="I74" s="288">
        <f t="shared" si="11"/>
        <v>40000000</v>
      </c>
      <c r="J74" s="11">
        <v>44323</v>
      </c>
      <c r="K74" s="11">
        <f t="shared" si="12"/>
        <v>44358</v>
      </c>
      <c r="L74" s="288">
        <v>40000000</v>
      </c>
      <c r="M74" s="11">
        <f t="shared" si="13"/>
        <v>44503</v>
      </c>
      <c r="N74" s="288">
        <v>36500000</v>
      </c>
      <c r="O74" s="288">
        <f t="shared" ref="O74:O81" si="14">L74-N74</f>
        <v>3500000</v>
      </c>
      <c r="P74" s="11">
        <v>44481</v>
      </c>
      <c r="Q74" s="13" t="s">
        <v>272</v>
      </c>
      <c r="R74" s="440" t="s">
        <v>725</v>
      </c>
    </row>
    <row r="75" spans="1:19" s="13" customFormat="1">
      <c r="A75" s="13" t="s">
        <v>146</v>
      </c>
      <c r="B75" s="13" t="s">
        <v>146</v>
      </c>
      <c r="C75" s="13">
        <v>5282</v>
      </c>
      <c r="D75" s="13" t="s">
        <v>390</v>
      </c>
      <c r="E75" s="13" t="s">
        <v>616</v>
      </c>
      <c r="F75" s="36" t="s">
        <v>617</v>
      </c>
      <c r="G75" s="36" t="s">
        <v>79</v>
      </c>
      <c r="H75" s="420">
        <v>60000000</v>
      </c>
      <c r="I75" s="288">
        <f t="shared" si="11"/>
        <v>60000000</v>
      </c>
      <c r="J75" s="11">
        <v>44205</v>
      </c>
      <c r="K75" s="11">
        <f t="shared" si="12"/>
        <v>44240</v>
      </c>
      <c r="L75" s="288">
        <v>60000000</v>
      </c>
      <c r="M75" s="11">
        <f t="shared" si="13"/>
        <v>44385</v>
      </c>
      <c r="N75" s="288">
        <v>0</v>
      </c>
      <c r="O75" s="288">
        <f t="shared" si="14"/>
        <v>60000000</v>
      </c>
      <c r="P75" s="11">
        <v>44310</v>
      </c>
      <c r="Q75" s="13" t="s">
        <v>272</v>
      </c>
      <c r="R75" s="93"/>
      <c r="S75" s="466" t="s">
        <v>634</v>
      </c>
    </row>
    <row r="76" spans="1:19" s="13" customFormat="1">
      <c r="A76" s="13" t="s">
        <v>146</v>
      </c>
      <c r="B76" s="13" t="s">
        <v>146</v>
      </c>
      <c r="C76" s="13">
        <v>5290</v>
      </c>
      <c r="D76" s="13" t="s">
        <v>391</v>
      </c>
      <c r="E76" s="13" t="s">
        <v>635</v>
      </c>
      <c r="F76" s="36" t="s">
        <v>360</v>
      </c>
      <c r="G76" s="36" t="s">
        <v>78</v>
      </c>
      <c r="H76" s="420">
        <v>50000000</v>
      </c>
      <c r="I76" s="288">
        <f t="shared" si="11"/>
        <v>50000000</v>
      </c>
      <c r="J76" s="11">
        <v>44208</v>
      </c>
      <c r="K76" s="11">
        <f t="shared" si="12"/>
        <v>44243</v>
      </c>
      <c r="L76" s="288">
        <v>50000000</v>
      </c>
      <c r="M76" s="11">
        <f t="shared" si="13"/>
        <v>44388</v>
      </c>
      <c r="N76" s="288">
        <v>0</v>
      </c>
      <c r="O76" s="288">
        <f t="shared" si="14"/>
        <v>50000000</v>
      </c>
      <c r="P76" s="11">
        <v>44323</v>
      </c>
      <c r="Q76" s="13" t="s">
        <v>272</v>
      </c>
      <c r="R76" s="93"/>
      <c r="S76" s="466" t="s">
        <v>648</v>
      </c>
    </row>
    <row r="77" spans="1:19" s="13" customFormat="1">
      <c r="A77" s="13" t="s">
        <v>146</v>
      </c>
      <c r="B77" s="13" t="s">
        <v>146</v>
      </c>
      <c r="C77" s="13">
        <v>5314</v>
      </c>
      <c r="D77" s="13" t="s">
        <v>391</v>
      </c>
      <c r="E77" s="13" t="s">
        <v>314</v>
      </c>
      <c r="F77" s="36" t="s">
        <v>417</v>
      </c>
      <c r="G77" s="36" t="s">
        <v>280</v>
      </c>
      <c r="H77" s="420">
        <v>50000000</v>
      </c>
      <c r="I77" s="288">
        <f t="shared" si="11"/>
        <v>50000000</v>
      </c>
      <c r="J77" s="11">
        <v>44218</v>
      </c>
      <c r="K77" s="11">
        <f t="shared" si="12"/>
        <v>44253</v>
      </c>
      <c r="L77" s="288">
        <v>50000000</v>
      </c>
      <c r="M77" s="11">
        <f t="shared" si="13"/>
        <v>44398</v>
      </c>
      <c r="N77" s="288">
        <v>0</v>
      </c>
      <c r="O77" s="288">
        <f t="shared" si="14"/>
        <v>50000000</v>
      </c>
      <c r="P77" s="11">
        <v>44365</v>
      </c>
      <c r="Q77" s="13" t="s">
        <v>272</v>
      </c>
      <c r="R77" s="93"/>
      <c r="S77" s="466" t="s">
        <v>647</v>
      </c>
    </row>
    <row r="78" spans="1:19" s="13" customFormat="1">
      <c r="A78" s="13" t="s">
        <v>146</v>
      </c>
      <c r="B78" s="13" t="s">
        <v>146</v>
      </c>
      <c r="C78" s="13">
        <v>5367</v>
      </c>
      <c r="D78" s="13" t="s">
        <v>391</v>
      </c>
      <c r="E78" s="13" t="s">
        <v>581</v>
      </c>
      <c r="F78" s="36" t="s">
        <v>582</v>
      </c>
      <c r="G78" s="36" t="s">
        <v>583</v>
      </c>
      <c r="H78" s="420">
        <v>49000000</v>
      </c>
      <c r="I78" s="288">
        <f>H78</f>
        <v>49000000</v>
      </c>
      <c r="J78" s="11">
        <v>44327</v>
      </c>
      <c r="K78" s="11">
        <f t="shared" si="12"/>
        <v>44362</v>
      </c>
      <c r="L78" s="288">
        <v>49000000</v>
      </c>
      <c r="M78" s="11">
        <f t="shared" si="13"/>
        <v>44507</v>
      </c>
      <c r="N78" s="288">
        <v>49000000</v>
      </c>
      <c r="O78" s="288">
        <f t="shared" si="14"/>
        <v>0</v>
      </c>
      <c r="P78" s="11">
        <v>44502</v>
      </c>
      <c r="Q78" s="13" t="s">
        <v>272</v>
      </c>
      <c r="R78" s="440" t="s">
        <v>730</v>
      </c>
      <c r="S78" s="466"/>
    </row>
    <row r="79" spans="1:19" s="13" customFormat="1">
      <c r="A79" s="13" t="s">
        <v>146</v>
      </c>
      <c r="B79" s="13" t="s">
        <v>146</v>
      </c>
      <c r="C79" s="13">
        <v>5321</v>
      </c>
      <c r="D79" s="13" t="s">
        <v>391</v>
      </c>
      <c r="E79" s="13" t="s">
        <v>635</v>
      </c>
      <c r="F79" s="36" t="s">
        <v>354</v>
      </c>
      <c r="G79" s="36" t="s">
        <v>78</v>
      </c>
      <c r="H79" s="420">
        <v>35000000</v>
      </c>
      <c r="I79" s="288">
        <v>35000000</v>
      </c>
      <c r="J79" s="11">
        <v>44238</v>
      </c>
      <c r="K79" s="11">
        <f t="shared" ref="K79:K90" si="15">J79+35</f>
        <v>44273</v>
      </c>
      <c r="L79" s="288">
        <v>35000000</v>
      </c>
      <c r="M79" s="11">
        <f t="shared" si="13"/>
        <v>44418</v>
      </c>
      <c r="N79" s="288">
        <v>0</v>
      </c>
      <c r="O79" s="288">
        <f t="shared" si="14"/>
        <v>35000000</v>
      </c>
      <c r="P79" s="11">
        <v>44399</v>
      </c>
      <c r="Q79" s="13" t="s">
        <v>272</v>
      </c>
      <c r="R79" s="93"/>
      <c r="S79" s="466" t="s">
        <v>663</v>
      </c>
    </row>
    <row r="80" spans="1:19" s="13" customFormat="1">
      <c r="A80" s="13" t="s">
        <v>146</v>
      </c>
      <c r="B80" s="13" t="s">
        <v>146</v>
      </c>
      <c r="C80" s="13">
        <v>5368</v>
      </c>
      <c r="D80" s="13" t="s">
        <v>390</v>
      </c>
      <c r="E80" s="13" t="s">
        <v>314</v>
      </c>
      <c r="F80" s="36" t="s">
        <v>577</v>
      </c>
      <c r="G80" s="36" t="s">
        <v>80</v>
      </c>
      <c r="H80" s="420">
        <v>30000000</v>
      </c>
      <c r="I80" s="288">
        <f t="shared" ref="I80:I87" si="16">H80</f>
        <v>30000000</v>
      </c>
      <c r="J80" s="11">
        <v>44328</v>
      </c>
      <c r="K80" s="11">
        <f t="shared" si="15"/>
        <v>44363</v>
      </c>
      <c r="L80" s="288">
        <v>30000000</v>
      </c>
      <c r="M80" s="11">
        <f t="shared" si="13"/>
        <v>44508</v>
      </c>
      <c r="N80" s="288">
        <v>0</v>
      </c>
      <c r="O80" s="288">
        <f t="shared" si="14"/>
        <v>30000000</v>
      </c>
      <c r="P80" s="11">
        <v>44407</v>
      </c>
      <c r="Q80" s="13" t="s">
        <v>272</v>
      </c>
      <c r="R80" s="93"/>
      <c r="S80" s="466"/>
    </row>
    <row r="81" spans="1:19" s="13" customFormat="1">
      <c r="A81" s="13" t="s">
        <v>146</v>
      </c>
      <c r="B81" s="13" t="s">
        <v>146</v>
      </c>
      <c r="C81" s="13">
        <v>5369</v>
      </c>
      <c r="D81" s="13" t="s">
        <v>390</v>
      </c>
      <c r="E81" s="13" t="s">
        <v>314</v>
      </c>
      <c r="F81" s="36" t="s">
        <v>605</v>
      </c>
      <c r="G81" s="36" t="s">
        <v>80</v>
      </c>
      <c r="H81" s="420">
        <v>30000000</v>
      </c>
      <c r="I81" s="288">
        <f t="shared" si="16"/>
        <v>30000000</v>
      </c>
      <c r="J81" s="11">
        <v>44328</v>
      </c>
      <c r="K81" s="11">
        <f t="shared" si="15"/>
        <v>44363</v>
      </c>
      <c r="L81" s="288">
        <v>30000000</v>
      </c>
      <c r="M81" s="11">
        <f t="shared" si="13"/>
        <v>44508</v>
      </c>
      <c r="N81" s="288">
        <v>0</v>
      </c>
      <c r="O81" s="288">
        <f t="shared" si="14"/>
        <v>30000000</v>
      </c>
      <c r="P81" s="11">
        <v>44414</v>
      </c>
      <c r="Q81" s="13" t="s">
        <v>272</v>
      </c>
      <c r="R81" s="93"/>
      <c r="S81" s="466"/>
    </row>
    <row r="82" spans="1:19" s="466" customFormat="1">
      <c r="A82" s="466" t="s">
        <v>146</v>
      </c>
      <c r="B82" s="466" t="s">
        <v>146</v>
      </c>
      <c r="C82" s="466">
        <v>5371</v>
      </c>
      <c r="D82" s="466" t="s">
        <v>391</v>
      </c>
      <c r="E82" s="466" t="s">
        <v>361</v>
      </c>
      <c r="F82" s="468" t="s">
        <v>584</v>
      </c>
      <c r="G82" s="468" t="s">
        <v>152</v>
      </c>
      <c r="H82" s="444">
        <v>100000000</v>
      </c>
      <c r="I82" s="352">
        <f t="shared" si="16"/>
        <v>100000000</v>
      </c>
      <c r="J82" s="469">
        <v>44336</v>
      </c>
      <c r="K82" s="469">
        <f t="shared" si="15"/>
        <v>44371</v>
      </c>
      <c r="L82" s="352">
        <v>60000000</v>
      </c>
      <c r="M82" s="469">
        <f>J82+150</f>
        <v>44486</v>
      </c>
      <c r="N82" s="352">
        <v>50929838</v>
      </c>
      <c r="O82" s="352">
        <f>I82-N82</f>
        <v>49070162</v>
      </c>
      <c r="P82" s="469">
        <v>44476</v>
      </c>
      <c r="Q82" s="466" t="s">
        <v>560</v>
      </c>
      <c r="R82" s="470"/>
    </row>
    <row r="83" spans="1:19" s="13" customFormat="1">
      <c r="A83" s="13" t="s">
        <v>146</v>
      </c>
      <c r="B83" s="13" t="s">
        <v>146</v>
      </c>
      <c r="C83" s="13">
        <v>5372</v>
      </c>
      <c r="D83" s="13" t="s">
        <v>390</v>
      </c>
      <c r="E83" s="13" t="s">
        <v>226</v>
      </c>
      <c r="F83" s="36" t="s">
        <v>704</v>
      </c>
      <c r="G83" s="36" t="s">
        <v>233</v>
      </c>
      <c r="H83" s="420">
        <v>35000000</v>
      </c>
      <c r="I83" s="288">
        <f t="shared" si="16"/>
        <v>35000000</v>
      </c>
      <c r="J83" s="11">
        <v>44336</v>
      </c>
      <c r="K83" s="11">
        <f t="shared" si="15"/>
        <v>44371</v>
      </c>
      <c r="L83" s="288">
        <v>35000000</v>
      </c>
      <c r="M83" s="11">
        <f t="shared" si="13"/>
        <v>44516</v>
      </c>
      <c r="N83" s="288">
        <v>0</v>
      </c>
      <c r="O83" s="288">
        <f>L83-N83</f>
        <v>35000000</v>
      </c>
      <c r="P83" s="11">
        <v>44483</v>
      </c>
      <c r="Q83" s="13" t="s">
        <v>242</v>
      </c>
      <c r="R83" s="93"/>
    </row>
    <row r="84" spans="1:19" s="13" customFormat="1">
      <c r="A84" s="13" t="s">
        <v>146</v>
      </c>
      <c r="B84" s="13" t="s">
        <v>146</v>
      </c>
      <c r="C84" s="13">
        <v>5373</v>
      </c>
      <c r="D84" s="13" t="s">
        <v>390</v>
      </c>
      <c r="E84" s="13" t="s">
        <v>153</v>
      </c>
      <c r="F84" s="36" t="s">
        <v>595</v>
      </c>
      <c r="G84" s="36" t="s">
        <v>81</v>
      </c>
      <c r="H84" s="420">
        <v>50000000</v>
      </c>
      <c r="I84" s="288">
        <f t="shared" si="16"/>
        <v>50000000</v>
      </c>
      <c r="J84" s="11">
        <v>44338</v>
      </c>
      <c r="K84" s="11">
        <f t="shared" si="15"/>
        <v>44373</v>
      </c>
      <c r="L84" s="288">
        <v>0</v>
      </c>
      <c r="M84" s="11">
        <f t="shared" si="13"/>
        <v>44518</v>
      </c>
      <c r="N84" s="288">
        <v>0</v>
      </c>
      <c r="O84" s="288">
        <f>I84-L84</f>
        <v>50000000</v>
      </c>
      <c r="P84" s="11">
        <v>44370</v>
      </c>
      <c r="Q84" s="13" t="s">
        <v>242</v>
      </c>
      <c r="R84" s="93"/>
    </row>
    <row r="85" spans="1:19" s="13" customFormat="1">
      <c r="A85" s="13" t="s">
        <v>146</v>
      </c>
      <c r="B85" s="13" t="s">
        <v>146</v>
      </c>
      <c r="C85" s="13">
        <v>5374</v>
      </c>
      <c r="D85" s="13" t="s">
        <v>391</v>
      </c>
      <c r="E85" s="13" t="s">
        <v>153</v>
      </c>
      <c r="F85" s="36" t="s">
        <v>587</v>
      </c>
      <c r="G85" s="36" t="s">
        <v>81</v>
      </c>
      <c r="H85" s="420">
        <v>35000000</v>
      </c>
      <c r="I85" s="288">
        <f t="shared" si="16"/>
        <v>35000000</v>
      </c>
      <c r="J85" s="11">
        <v>44338</v>
      </c>
      <c r="K85" s="11">
        <f t="shared" si="15"/>
        <v>44373</v>
      </c>
      <c r="L85" s="288">
        <v>35000000</v>
      </c>
      <c r="M85" s="11">
        <f t="shared" si="13"/>
        <v>44518</v>
      </c>
      <c r="N85" s="288">
        <v>22000000</v>
      </c>
      <c r="O85" s="288">
        <f>L85-N85</f>
        <v>13000000</v>
      </c>
      <c r="P85" s="11">
        <v>44530</v>
      </c>
      <c r="Q85" s="13" t="s">
        <v>272</v>
      </c>
      <c r="R85" s="93"/>
      <c r="S85" s="466" t="s">
        <v>720</v>
      </c>
    </row>
    <row r="86" spans="1:19" s="13" customFormat="1">
      <c r="A86" s="13" t="s">
        <v>146</v>
      </c>
      <c r="B86" s="13" t="s">
        <v>146</v>
      </c>
      <c r="C86" s="13">
        <v>5364</v>
      </c>
      <c r="D86" s="13" t="s">
        <v>390</v>
      </c>
      <c r="E86" s="13" t="s">
        <v>161</v>
      </c>
      <c r="F86" s="36" t="s">
        <v>438</v>
      </c>
      <c r="G86" s="36" t="s">
        <v>80</v>
      </c>
      <c r="H86" s="420">
        <v>35000000</v>
      </c>
      <c r="I86" s="288">
        <f t="shared" si="16"/>
        <v>35000000</v>
      </c>
      <c r="J86" s="11">
        <v>44323</v>
      </c>
      <c r="K86" s="11">
        <f t="shared" si="15"/>
        <v>44358</v>
      </c>
      <c r="L86" s="288">
        <v>35000000</v>
      </c>
      <c r="M86" s="11">
        <f>J86+180</f>
        <v>44503</v>
      </c>
      <c r="N86" s="288">
        <v>0</v>
      </c>
      <c r="O86" s="288">
        <f>L86-N86</f>
        <v>35000000</v>
      </c>
      <c r="P86" s="11">
        <v>44496</v>
      </c>
      <c r="Q86" s="13" t="s">
        <v>272</v>
      </c>
      <c r="R86" s="93"/>
      <c r="S86" s="466" t="s">
        <v>726</v>
      </c>
    </row>
    <row r="87" spans="1:19" s="13" customFormat="1">
      <c r="A87" s="13" t="s">
        <v>146</v>
      </c>
      <c r="B87" s="13" t="s">
        <v>146</v>
      </c>
      <c r="C87" s="13">
        <v>5365</v>
      </c>
      <c r="D87" s="13" t="s">
        <v>390</v>
      </c>
      <c r="E87" s="13" t="s">
        <v>234</v>
      </c>
      <c r="F87" s="36" t="s">
        <v>439</v>
      </c>
      <c r="G87" s="36" t="s">
        <v>95</v>
      </c>
      <c r="H87" s="420">
        <v>52000000</v>
      </c>
      <c r="I87" s="288">
        <f t="shared" si="16"/>
        <v>52000000</v>
      </c>
      <c r="J87" s="11">
        <v>44323</v>
      </c>
      <c r="K87" s="11">
        <f t="shared" si="15"/>
        <v>44358</v>
      </c>
      <c r="L87" s="288">
        <v>52000000</v>
      </c>
      <c r="M87" s="11">
        <f>J87+180</f>
        <v>44503</v>
      </c>
      <c r="N87" s="288">
        <v>0</v>
      </c>
      <c r="O87" s="288">
        <f>L87-N87</f>
        <v>52000000</v>
      </c>
      <c r="P87" s="11">
        <v>44476</v>
      </c>
      <c r="Q87" s="13" t="s">
        <v>272</v>
      </c>
      <c r="R87" s="93"/>
      <c r="S87" s="466" t="s">
        <v>727</v>
      </c>
    </row>
    <row r="88" spans="1:19" s="466" customFormat="1">
      <c r="A88" s="466" t="s">
        <v>146</v>
      </c>
      <c r="B88" s="466" t="s">
        <v>146</v>
      </c>
      <c r="C88" s="466">
        <v>5375</v>
      </c>
      <c r="D88" s="466" t="s">
        <v>391</v>
      </c>
      <c r="E88" s="466" t="s">
        <v>83</v>
      </c>
      <c r="F88" s="468" t="s">
        <v>731</v>
      </c>
      <c r="G88" s="468" t="s">
        <v>732</v>
      </c>
      <c r="H88" s="444">
        <v>100000000</v>
      </c>
      <c r="I88" s="352">
        <v>100000000</v>
      </c>
      <c r="J88" s="469">
        <v>44345</v>
      </c>
      <c r="K88" s="469">
        <f t="shared" si="15"/>
        <v>44380</v>
      </c>
      <c r="L88" s="352">
        <v>100000000</v>
      </c>
      <c r="M88" s="469">
        <f>J88+150</f>
        <v>44495</v>
      </c>
      <c r="N88" s="352">
        <v>100000000</v>
      </c>
      <c r="O88" s="352">
        <f>L88-N88</f>
        <v>0</v>
      </c>
      <c r="P88" s="469">
        <v>44496</v>
      </c>
      <c r="Q88" s="466" t="s">
        <v>560</v>
      </c>
      <c r="R88" s="470"/>
    </row>
    <row r="89" spans="1:19" s="466" customFormat="1">
      <c r="A89" s="466" t="s">
        <v>146</v>
      </c>
      <c r="B89" s="466" t="s">
        <v>146</v>
      </c>
      <c r="C89" s="466">
        <v>5378</v>
      </c>
      <c r="D89" s="466" t="s">
        <v>390</v>
      </c>
      <c r="E89" s="466" t="s">
        <v>83</v>
      </c>
      <c r="F89" s="468" t="s">
        <v>548</v>
      </c>
      <c r="G89" s="468" t="s">
        <v>549</v>
      </c>
      <c r="H89" s="444">
        <v>100000000</v>
      </c>
      <c r="I89" s="352">
        <v>100000000</v>
      </c>
      <c r="J89" s="469">
        <v>44359</v>
      </c>
      <c r="K89" s="469">
        <f t="shared" si="15"/>
        <v>44394</v>
      </c>
      <c r="L89" s="352">
        <v>0</v>
      </c>
      <c r="M89" s="469">
        <f>J89+150</f>
        <v>44509</v>
      </c>
      <c r="N89" s="352">
        <v>0</v>
      </c>
      <c r="O89" s="352">
        <f>I89-L89</f>
        <v>100000000</v>
      </c>
      <c r="P89" s="469">
        <v>44398</v>
      </c>
      <c r="Q89" s="466" t="s">
        <v>560</v>
      </c>
      <c r="R89" s="470"/>
    </row>
    <row r="90" spans="1:19" s="466" customFormat="1">
      <c r="A90" s="466" t="s">
        <v>146</v>
      </c>
      <c r="B90" s="466" t="s">
        <v>146</v>
      </c>
      <c r="C90" s="466">
        <v>5384</v>
      </c>
      <c r="D90" s="466" t="s">
        <v>390</v>
      </c>
      <c r="E90" s="466" t="s">
        <v>83</v>
      </c>
      <c r="F90" s="468" t="s">
        <v>600</v>
      </c>
      <c r="G90" s="468" t="s">
        <v>352</v>
      </c>
      <c r="H90" s="444">
        <v>100000000</v>
      </c>
      <c r="I90" s="352">
        <f>H90</f>
        <v>100000000</v>
      </c>
      <c r="J90" s="469">
        <v>44373</v>
      </c>
      <c r="K90" s="469">
        <f t="shared" si="15"/>
        <v>44408</v>
      </c>
      <c r="L90" s="352">
        <v>0</v>
      </c>
      <c r="M90" s="469">
        <f>J90+150</f>
        <v>44523</v>
      </c>
      <c r="N90" s="352">
        <v>0</v>
      </c>
      <c r="O90" s="352">
        <f>I90-L90</f>
        <v>100000000</v>
      </c>
      <c r="P90" s="469">
        <v>44398</v>
      </c>
      <c r="Q90" s="466" t="s">
        <v>560</v>
      </c>
      <c r="R90" s="470"/>
    </row>
    <row r="91" spans="1:19" s="13" customFormat="1">
      <c r="A91" s="13" t="s">
        <v>146</v>
      </c>
      <c r="B91" s="13" t="s">
        <v>146</v>
      </c>
      <c r="C91" s="13">
        <v>5385</v>
      </c>
      <c r="D91" s="13" t="s">
        <v>390</v>
      </c>
      <c r="E91" s="13" t="s">
        <v>153</v>
      </c>
      <c r="F91" s="36" t="s">
        <v>591</v>
      </c>
      <c r="G91" s="36" t="s">
        <v>81</v>
      </c>
      <c r="H91" s="420">
        <v>45000000</v>
      </c>
      <c r="I91" s="288">
        <f>H91</f>
        <v>45000000</v>
      </c>
      <c r="J91" s="11">
        <v>44373</v>
      </c>
      <c r="K91" s="11">
        <f>J91+35</f>
        <v>44408</v>
      </c>
      <c r="L91" s="288">
        <v>0</v>
      </c>
      <c r="M91" s="11">
        <f>J91+180</f>
        <v>44553</v>
      </c>
      <c r="N91" s="288">
        <v>0</v>
      </c>
      <c r="O91" s="288">
        <f>I91-N91</f>
        <v>45000000</v>
      </c>
      <c r="P91" s="11">
        <v>44397</v>
      </c>
      <c r="Q91" s="13" t="s">
        <v>272</v>
      </c>
      <c r="R91" s="93"/>
    </row>
    <row r="92" spans="1:19" s="466" customFormat="1">
      <c r="A92" s="13" t="s">
        <v>146</v>
      </c>
      <c r="B92" s="13" t="s">
        <v>146</v>
      </c>
      <c r="C92" s="13" t="s">
        <v>737</v>
      </c>
      <c r="D92" s="13" t="s">
        <v>390</v>
      </c>
      <c r="E92" s="13" t="s">
        <v>225</v>
      </c>
      <c r="F92" s="36" t="s">
        <v>738</v>
      </c>
      <c r="G92" s="36" t="s">
        <v>739</v>
      </c>
      <c r="H92" s="420">
        <v>0</v>
      </c>
      <c r="I92" s="352"/>
      <c r="J92" s="469"/>
      <c r="K92" s="469"/>
      <c r="L92" s="352"/>
      <c r="M92" s="469"/>
      <c r="N92" s="352"/>
      <c r="O92" s="352"/>
      <c r="P92" s="469"/>
      <c r="Q92" s="13" t="s">
        <v>272</v>
      </c>
      <c r="R92" s="470"/>
    </row>
    <row r="93" spans="1:19" s="13" customFormat="1">
      <c r="A93" s="13" t="s">
        <v>146</v>
      </c>
      <c r="B93" s="13" t="s">
        <v>146</v>
      </c>
      <c r="C93" s="13">
        <v>5387</v>
      </c>
      <c r="D93" s="13" t="s">
        <v>77</v>
      </c>
      <c r="E93" s="13" t="s">
        <v>746</v>
      </c>
      <c r="F93" s="36" t="s">
        <v>747</v>
      </c>
      <c r="G93" s="36" t="s">
        <v>748</v>
      </c>
      <c r="H93" s="420">
        <v>35000000</v>
      </c>
      <c r="I93" s="288">
        <f t="shared" ref="I93:I98" si="17">H93</f>
        <v>35000000</v>
      </c>
      <c r="J93" s="11">
        <v>44390</v>
      </c>
      <c r="K93" s="11">
        <f>J93+35</f>
        <v>44425</v>
      </c>
      <c r="L93" s="288">
        <v>35000000</v>
      </c>
      <c r="M93" s="11">
        <f>J93+180</f>
        <v>44570</v>
      </c>
      <c r="N93" s="288"/>
      <c r="O93" s="288"/>
      <c r="P93" s="11"/>
      <c r="Q93" s="13" t="s">
        <v>272</v>
      </c>
      <c r="R93" s="93"/>
    </row>
    <row r="94" spans="1:19" s="466" customFormat="1">
      <c r="A94" s="13" t="s">
        <v>146</v>
      </c>
      <c r="B94" s="13" t="s">
        <v>146</v>
      </c>
      <c r="C94" s="13">
        <v>5388</v>
      </c>
      <c r="D94" s="13" t="s">
        <v>77</v>
      </c>
      <c r="E94" s="13" t="s">
        <v>153</v>
      </c>
      <c r="F94" s="36" t="s">
        <v>595</v>
      </c>
      <c r="G94" s="36" t="s">
        <v>81</v>
      </c>
      <c r="H94" s="420">
        <v>50000000</v>
      </c>
      <c r="I94" s="288">
        <f t="shared" si="17"/>
        <v>50000000</v>
      </c>
      <c r="J94" s="11">
        <v>44401</v>
      </c>
      <c r="K94" s="11">
        <f>J94+35</f>
        <v>44436</v>
      </c>
      <c r="L94" s="288">
        <v>50000000</v>
      </c>
      <c r="M94" s="11">
        <f>J94+180</f>
        <v>44581</v>
      </c>
      <c r="N94" s="288"/>
      <c r="O94" s="288"/>
      <c r="P94" s="11"/>
      <c r="Q94" s="13" t="s">
        <v>272</v>
      </c>
      <c r="R94" s="470"/>
    </row>
    <row r="95" spans="1:19" s="377" customFormat="1" ht="11.4">
      <c r="A95" s="5" t="s">
        <v>146</v>
      </c>
      <c r="B95" s="5" t="s">
        <v>146</v>
      </c>
      <c r="C95" s="5">
        <v>5389</v>
      </c>
      <c r="D95" s="5" t="s">
        <v>625</v>
      </c>
      <c r="E95" s="5" t="s">
        <v>623</v>
      </c>
      <c r="F95" s="26" t="s">
        <v>755</v>
      </c>
      <c r="G95" s="26" t="s">
        <v>81</v>
      </c>
      <c r="H95" s="350">
        <v>30000000</v>
      </c>
      <c r="I95" s="347">
        <f t="shared" si="17"/>
        <v>30000000</v>
      </c>
      <c r="J95" s="6">
        <v>44401</v>
      </c>
      <c r="K95" s="6">
        <f t="shared" ref="K95:K98" si="18">J95+35</f>
        <v>44436</v>
      </c>
      <c r="L95" s="347">
        <v>30000000</v>
      </c>
      <c r="M95" s="6">
        <f t="shared" ref="M95:M98" si="19">J95+180</f>
        <v>44581</v>
      </c>
      <c r="N95" s="347"/>
      <c r="O95" s="347"/>
      <c r="P95" s="6"/>
      <c r="Q95" s="5" t="s">
        <v>272</v>
      </c>
      <c r="R95" s="476"/>
    </row>
    <row r="96" spans="1:19" s="466" customFormat="1">
      <c r="A96" s="13" t="s">
        <v>146</v>
      </c>
      <c r="B96" s="13" t="s">
        <v>146</v>
      </c>
      <c r="C96" s="13">
        <v>5390</v>
      </c>
      <c r="D96" s="13" t="s">
        <v>77</v>
      </c>
      <c r="E96" s="13" t="s">
        <v>568</v>
      </c>
      <c r="F96" s="36" t="s">
        <v>569</v>
      </c>
      <c r="G96" s="36" t="s">
        <v>570</v>
      </c>
      <c r="H96" s="420">
        <v>13500000</v>
      </c>
      <c r="I96" s="288">
        <f t="shared" si="17"/>
        <v>13500000</v>
      </c>
      <c r="J96" s="11">
        <v>44401</v>
      </c>
      <c r="K96" s="11">
        <f t="shared" si="18"/>
        <v>44436</v>
      </c>
      <c r="L96" s="288">
        <v>13500000</v>
      </c>
      <c r="M96" s="11">
        <f t="shared" si="19"/>
        <v>44581</v>
      </c>
      <c r="N96" s="288"/>
      <c r="O96" s="288"/>
      <c r="P96" s="11"/>
      <c r="Q96" s="13" t="s">
        <v>272</v>
      </c>
      <c r="R96" s="470"/>
    </row>
    <row r="97" spans="1:19" s="377" customFormat="1" ht="11.4">
      <c r="A97" s="5" t="s">
        <v>146</v>
      </c>
      <c r="B97" s="5" t="s">
        <v>146</v>
      </c>
      <c r="C97" s="5">
        <v>5391</v>
      </c>
      <c r="D97" s="5" t="s">
        <v>625</v>
      </c>
      <c r="E97" s="5" t="s">
        <v>153</v>
      </c>
      <c r="F97" s="26" t="s">
        <v>591</v>
      </c>
      <c r="G97" s="26" t="s">
        <v>81</v>
      </c>
      <c r="H97" s="350">
        <v>45000000</v>
      </c>
      <c r="I97" s="347">
        <f t="shared" si="17"/>
        <v>45000000</v>
      </c>
      <c r="J97" s="6">
        <v>44401</v>
      </c>
      <c r="K97" s="6">
        <f t="shared" si="18"/>
        <v>44436</v>
      </c>
      <c r="L97" s="347">
        <v>45000000</v>
      </c>
      <c r="M97" s="6">
        <f t="shared" si="19"/>
        <v>44581</v>
      </c>
      <c r="N97" s="347"/>
      <c r="O97" s="347"/>
      <c r="P97" s="6"/>
      <c r="Q97" s="5" t="s">
        <v>272</v>
      </c>
      <c r="R97" s="476"/>
    </row>
    <row r="98" spans="1:19" s="466" customFormat="1">
      <c r="A98" s="13" t="s">
        <v>146</v>
      </c>
      <c r="B98" s="13" t="s">
        <v>146</v>
      </c>
      <c r="C98" s="13">
        <v>5413</v>
      </c>
      <c r="D98" s="13" t="s">
        <v>77</v>
      </c>
      <c r="E98" s="13" t="s">
        <v>314</v>
      </c>
      <c r="F98" s="36" t="s">
        <v>577</v>
      </c>
      <c r="G98" s="36" t="s">
        <v>80</v>
      </c>
      <c r="H98" s="420">
        <v>30000000</v>
      </c>
      <c r="I98" s="288">
        <f t="shared" si="17"/>
        <v>30000000</v>
      </c>
      <c r="J98" s="11">
        <v>44418</v>
      </c>
      <c r="K98" s="11">
        <f t="shared" si="18"/>
        <v>44453</v>
      </c>
      <c r="L98" s="288">
        <v>30000000</v>
      </c>
      <c r="M98" s="11">
        <f t="shared" si="19"/>
        <v>44598</v>
      </c>
      <c r="N98" s="288"/>
      <c r="O98" s="288"/>
      <c r="P98" s="11"/>
      <c r="Q98" s="13" t="s">
        <v>272</v>
      </c>
      <c r="R98" s="470"/>
    </row>
    <row r="99" spans="1:19" s="377" customFormat="1" ht="11.4">
      <c r="A99" s="5" t="s">
        <v>146</v>
      </c>
      <c r="B99" s="5" t="s">
        <v>146</v>
      </c>
      <c r="C99" s="5">
        <v>5414</v>
      </c>
      <c r="D99" s="5" t="s">
        <v>625</v>
      </c>
      <c r="E99" s="5" t="s">
        <v>314</v>
      </c>
      <c r="F99" s="26" t="s">
        <v>359</v>
      </c>
      <c r="G99" s="26" t="s">
        <v>80</v>
      </c>
      <c r="H99" s="350">
        <v>20000000</v>
      </c>
      <c r="I99" s="347">
        <f t="shared" ref="I99:I102" si="20">H99</f>
        <v>20000000</v>
      </c>
      <c r="J99" s="6">
        <v>44418</v>
      </c>
      <c r="K99" s="6">
        <f t="shared" ref="K99:K102" si="21">J99+35</f>
        <v>44453</v>
      </c>
      <c r="L99" s="347">
        <v>20000000</v>
      </c>
      <c r="M99" s="6">
        <f t="shared" ref="M99:M102" si="22">J99+180</f>
        <v>44598</v>
      </c>
      <c r="N99" s="347"/>
      <c r="O99" s="347"/>
      <c r="P99" s="6"/>
      <c r="Q99" s="5" t="s">
        <v>272</v>
      </c>
      <c r="R99" s="476"/>
    </row>
    <row r="100" spans="1:19" s="377" customFormat="1" ht="11.4">
      <c r="A100" s="5" t="s">
        <v>146</v>
      </c>
      <c r="B100" s="5" t="s">
        <v>146</v>
      </c>
      <c r="C100" s="5">
        <v>5415</v>
      </c>
      <c r="D100" s="5" t="s">
        <v>625</v>
      </c>
      <c r="E100" s="5" t="s">
        <v>314</v>
      </c>
      <c r="F100" s="26" t="s">
        <v>363</v>
      </c>
      <c r="G100" s="26" t="s">
        <v>80</v>
      </c>
      <c r="H100" s="350">
        <v>20000000</v>
      </c>
      <c r="I100" s="347">
        <f t="shared" si="20"/>
        <v>20000000</v>
      </c>
      <c r="J100" s="6">
        <v>44418</v>
      </c>
      <c r="K100" s="6">
        <f t="shared" si="21"/>
        <v>44453</v>
      </c>
      <c r="L100" s="347">
        <v>20000000</v>
      </c>
      <c r="M100" s="6">
        <f t="shared" si="22"/>
        <v>44598</v>
      </c>
      <c r="N100" s="347"/>
      <c r="O100" s="347"/>
      <c r="P100" s="6"/>
      <c r="Q100" s="5" t="s">
        <v>272</v>
      </c>
      <c r="R100" s="476"/>
    </row>
    <row r="101" spans="1:19" s="466" customFormat="1">
      <c r="A101" s="13" t="s">
        <v>146</v>
      </c>
      <c r="B101" s="13" t="s">
        <v>146</v>
      </c>
      <c r="C101" s="13">
        <v>5416</v>
      </c>
      <c r="D101" s="13" t="s">
        <v>77</v>
      </c>
      <c r="E101" s="13" t="s">
        <v>314</v>
      </c>
      <c r="F101" s="36" t="s">
        <v>605</v>
      </c>
      <c r="G101" s="36" t="s">
        <v>80</v>
      </c>
      <c r="H101" s="420">
        <v>30000000</v>
      </c>
      <c r="I101" s="288">
        <f t="shared" si="20"/>
        <v>30000000</v>
      </c>
      <c r="J101" s="11">
        <v>44418</v>
      </c>
      <c r="K101" s="11">
        <f t="shared" si="21"/>
        <v>44453</v>
      </c>
      <c r="L101" s="288">
        <v>30000000</v>
      </c>
      <c r="M101" s="11">
        <f t="shared" si="22"/>
        <v>44598</v>
      </c>
      <c r="N101" s="288"/>
      <c r="O101" s="288"/>
      <c r="P101" s="11"/>
      <c r="Q101" s="13" t="s">
        <v>272</v>
      </c>
      <c r="R101" s="470"/>
    </row>
    <row r="102" spans="1:19" s="466" customFormat="1">
      <c r="A102" s="13" t="s">
        <v>146</v>
      </c>
      <c r="B102" s="13" t="s">
        <v>146</v>
      </c>
      <c r="C102" s="13">
        <v>5423</v>
      </c>
      <c r="D102" s="13" t="s">
        <v>391</v>
      </c>
      <c r="E102" s="13" t="s">
        <v>278</v>
      </c>
      <c r="F102" s="36" t="s">
        <v>789</v>
      </c>
      <c r="G102" s="36" t="s">
        <v>79</v>
      </c>
      <c r="H102" s="420">
        <v>10000000</v>
      </c>
      <c r="I102" s="288">
        <f t="shared" si="20"/>
        <v>10000000</v>
      </c>
      <c r="J102" s="11">
        <v>44421</v>
      </c>
      <c r="K102" s="11">
        <f t="shared" si="21"/>
        <v>44456</v>
      </c>
      <c r="L102" s="288">
        <v>10000000</v>
      </c>
      <c r="M102" s="11">
        <f t="shared" si="22"/>
        <v>44601</v>
      </c>
      <c r="N102" s="288">
        <v>5100000</v>
      </c>
      <c r="O102" s="288">
        <f>L102-N102</f>
        <v>4900000</v>
      </c>
      <c r="P102" s="11">
        <v>44523</v>
      </c>
      <c r="Q102" s="13" t="s">
        <v>272</v>
      </c>
      <c r="R102" s="470"/>
    </row>
    <row r="103" spans="1:19" s="466" customFormat="1">
      <c r="A103" s="13" t="s">
        <v>146</v>
      </c>
      <c r="B103" s="13" t="s">
        <v>146</v>
      </c>
      <c r="C103" s="13">
        <v>5424</v>
      </c>
      <c r="D103" s="13" t="s">
        <v>77</v>
      </c>
      <c r="E103" s="13" t="s">
        <v>635</v>
      </c>
      <c r="F103" s="36" t="s">
        <v>790</v>
      </c>
      <c r="G103" s="36" t="s">
        <v>78</v>
      </c>
      <c r="H103" s="420">
        <v>69152737</v>
      </c>
      <c r="I103" s="288">
        <f>H103</f>
        <v>69152737</v>
      </c>
      <c r="J103" s="11">
        <v>44421</v>
      </c>
      <c r="K103" s="11">
        <f t="shared" ref="K103" si="23">J103+35</f>
        <v>44456</v>
      </c>
      <c r="L103" s="288">
        <v>69152737</v>
      </c>
      <c r="M103" s="11">
        <f t="shared" ref="M103" si="24">J103+180</f>
        <v>44601</v>
      </c>
      <c r="N103" s="288"/>
      <c r="O103" s="288"/>
      <c r="P103" s="11"/>
      <c r="Q103" s="13" t="s">
        <v>272</v>
      </c>
      <c r="R103" s="470"/>
      <c r="S103" s="466" t="s">
        <v>794</v>
      </c>
    </row>
    <row r="104" spans="1:19" s="466" customFormat="1">
      <c r="A104" s="13" t="s">
        <v>146</v>
      </c>
      <c r="B104" s="13" t="s">
        <v>146</v>
      </c>
      <c r="C104" s="13">
        <v>5434</v>
      </c>
      <c r="D104" s="13" t="s">
        <v>77</v>
      </c>
      <c r="E104" s="13" t="s">
        <v>158</v>
      </c>
      <c r="F104" s="36" t="s">
        <v>554</v>
      </c>
      <c r="G104" s="36" t="s">
        <v>224</v>
      </c>
      <c r="H104" s="420">
        <v>20000000</v>
      </c>
      <c r="I104" s="288">
        <f>H104</f>
        <v>20000000</v>
      </c>
      <c r="J104" s="11">
        <v>44421</v>
      </c>
      <c r="K104" s="11">
        <f t="shared" ref="K104" si="25">J104+35</f>
        <v>44456</v>
      </c>
      <c r="L104" s="288">
        <v>20000000</v>
      </c>
      <c r="M104" s="11">
        <f t="shared" ref="M104" si="26">J104+180</f>
        <v>44601</v>
      </c>
      <c r="N104" s="288"/>
      <c r="O104" s="288"/>
      <c r="P104" s="11"/>
      <c r="Q104" s="13" t="s">
        <v>210</v>
      </c>
      <c r="R104" s="440" t="s">
        <v>792</v>
      </c>
      <c r="S104" s="466" t="s">
        <v>632</v>
      </c>
    </row>
    <row r="105" spans="1:19" s="466" customFormat="1">
      <c r="A105" s="13" t="s">
        <v>146</v>
      </c>
      <c r="B105" s="13" t="s">
        <v>146</v>
      </c>
      <c r="C105" s="13">
        <v>5435</v>
      </c>
      <c r="D105" s="13" t="s">
        <v>77</v>
      </c>
      <c r="E105" s="13" t="s">
        <v>158</v>
      </c>
      <c r="F105" s="36" t="s">
        <v>795</v>
      </c>
      <c r="G105" s="36" t="s">
        <v>559</v>
      </c>
      <c r="H105" s="420">
        <v>12000000</v>
      </c>
      <c r="I105" s="288">
        <f>H105</f>
        <v>12000000</v>
      </c>
      <c r="J105" s="11">
        <v>44421</v>
      </c>
      <c r="K105" s="11">
        <f t="shared" ref="K105" si="27">J105+35</f>
        <v>44456</v>
      </c>
      <c r="L105" s="288">
        <v>12000000</v>
      </c>
      <c r="M105" s="11">
        <f t="shared" ref="M105" si="28">J105+180</f>
        <v>44601</v>
      </c>
      <c r="N105" s="288"/>
      <c r="O105" s="288"/>
      <c r="P105" s="11"/>
      <c r="Q105" s="13" t="s">
        <v>210</v>
      </c>
      <c r="R105" s="440" t="s">
        <v>792</v>
      </c>
    </row>
    <row r="106" spans="1:19" s="13" customFormat="1">
      <c r="F106" s="36"/>
      <c r="G106" s="36"/>
      <c r="H106" s="66"/>
      <c r="I106" s="27"/>
      <c r="J106" s="11"/>
      <c r="K106" s="11"/>
      <c r="L106" s="27"/>
      <c r="M106" s="11"/>
      <c r="N106" s="27"/>
      <c r="O106" s="27"/>
      <c r="P106" s="11"/>
      <c r="R106" s="11"/>
    </row>
    <row r="107" spans="1:19" s="13" customFormat="1">
      <c r="A107" s="43"/>
      <c r="B107" s="43"/>
      <c r="C107" s="43"/>
      <c r="D107" s="43"/>
      <c r="E107" s="1"/>
      <c r="F107" s="13" t="s">
        <v>19</v>
      </c>
      <c r="H107" s="262">
        <f>SUM(H7:H106)</f>
        <v>3754310947</v>
      </c>
      <c r="I107" s="262">
        <f>SUM(I7:I106)</f>
        <v>3754310947</v>
      </c>
      <c r="J107" s="3"/>
      <c r="K107" s="1"/>
      <c r="L107" s="262">
        <f>SUM(L7:L106)</f>
        <v>2466305474</v>
      </c>
      <c r="M107" s="3"/>
      <c r="N107" s="262">
        <f>SUM(N7:N106)</f>
        <v>708588737.70000005</v>
      </c>
      <c r="O107" s="262">
        <f>SUM(O7:O106)</f>
        <v>2671069472.3000002</v>
      </c>
    </row>
    <row r="108" spans="1:19">
      <c r="A108" s="5"/>
      <c r="B108" s="5"/>
      <c r="C108" s="5"/>
      <c r="D108" s="88"/>
      <c r="F108" s="13"/>
      <c r="J108" s="3"/>
      <c r="K108" s="3"/>
      <c r="M108" s="3"/>
    </row>
    <row r="109" spans="1:19">
      <c r="A109" s="5"/>
      <c r="B109" s="5"/>
      <c r="C109" s="5"/>
      <c r="E109" s="5"/>
      <c r="F109" s="13" t="s">
        <v>43</v>
      </c>
      <c r="G109" s="5"/>
      <c r="H109" s="34">
        <f>H107-I107</f>
        <v>0</v>
      </c>
      <c r="I109" s="9"/>
      <c r="J109" s="3"/>
      <c r="K109" s="3"/>
      <c r="M109" s="76"/>
    </row>
    <row r="110" spans="1:19">
      <c r="A110" s="5"/>
      <c r="B110" s="5"/>
      <c r="C110" s="5"/>
      <c r="E110" s="5"/>
      <c r="G110" s="5"/>
      <c r="H110" s="67"/>
      <c r="I110" s="9"/>
      <c r="J110" s="3"/>
      <c r="K110" s="3"/>
      <c r="L110" s="3"/>
      <c r="M110" s="76"/>
      <c r="N110" s="83"/>
      <c r="O110" s="3"/>
    </row>
    <row r="111" spans="1:19">
      <c r="A111" s="5"/>
      <c r="B111" s="5"/>
      <c r="C111" s="5"/>
      <c r="E111" s="133"/>
      <c r="F111" s="58" t="s">
        <v>75</v>
      </c>
      <c r="G111" s="5"/>
      <c r="H111" s="77">
        <f>E1-I107+O107+G119</f>
        <v>138161894.30000019</v>
      </c>
      <c r="I111" s="194"/>
      <c r="J111" s="3"/>
      <c r="K111" s="3"/>
      <c r="L111" s="167"/>
      <c r="M111" s="3"/>
      <c r="N111" s="9"/>
    </row>
    <row r="112" spans="1:19">
      <c r="A112" s="5"/>
      <c r="B112" s="5"/>
      <c r="C112" s="5"/>
      <c r="H112" s="250"/>
      <c r="J112" s="351"/>
      <c r="K112" s="3"/>
      <c r="L112" s="256"/>
      <c r="M112" s="3"/>
      <c r="N112" s="9"/>
    </row>
    <row r="113" spans="1:18">
      <c r="A113" s="5"/>
      <c r="B113" s="5"/>
      <c r="C113" s="5"/>
      <c r="H113" s="83"/>
      <c r="I113" s="171"/>
      <c r="J113" s="3"/>
      <c r="K113" s="3"/>
      <c r="L113" s="256"/>
      <c r="M113" s="3"/>
      <c r="N113" s="83"/>
    </row>
    <row r="114" spans="1:18" s="13" customFormat="1">
      <c r="G114" s="148"/>
      <c r="H114" s="358"/>
      <c r="I114" s="312"/>
      <c r="J114" s="3"/>
      <c r="K114" s="11"/>
      <c r="L114" s="457"/>
      <c r="M114" s="11"/>
      <c r="N114" s="80"/>
      <c r="P114" s="11"/>
      <c r="R114" s="43"/>
    </row>
    <row r="115" spans="1:18" s="13" customFormat="1">
      <c r="C115" s="43"/>
      <c r="D115" s="1"/>
      <c r="E115" s="148"/>
      <c r="F115" s="43"/>
      <c r="G115" s="9"/>
      <c r="H115" s="209"/>
      <c r="I115" s="312"/>
      <c r="J115" s="3"/>
      <c r="K115" s="407"/>
      <c r="L115" s="348"/>
      <c r="M115" s="10"/>
      <c r="N115" s="10"/>
      <c r="O115" s="10"/>
      <c r="P115" s="11"/>
      <c r="R115" s="43"/>
    </row>
    <row r="116" spans="1:18" s="13" customFormat="1">
      <c r="C116" s="43"/>
      <c r="D116" s="43"/>
      <c r="E116" s="148"/>
      <c r="F116" s="148"/>
      <c r="G116" s="9"/>
      <c r="H116" s="209"/>
      <c r="I116" s="312"/>
      <c r="J116" s="358"/>
      <c r="K116" s="11"/>
      <c r="L116" s="358"/>
      <c r="M116" s="49"/>
      <c r="N116" s="358"/>
      <c r="O116" s="288"/>
      <c r="P116" s="11"/>
      <c r="R116" s="43"/>
    </row>
    <row r="117" spans="1:18" s="13" customFormat="1">
      <c r="C117" s="43">
        <v>5259</v>
      </c>
      <c r="D117" s="43" t="s">
        <v>77</v>
      </c>
      <c r="E117" s="148" t="s">
        <v>282</v>
      </c>
      <c r="F117" s="148" t="s">
        <v>94</v>
      </c>
      <c r="G117" s="9">
        <v>6400000</v>
      </c>
      <c r="H117" s="209" t="s">
        <v>793</v>
      </c>
      <c r="I117" s="312"/>
      <c r="J117" s="358"/>
      <c r="K117" s="11"/>
      <c r="L117" s="358"/>
      <c r="M117" s="49"/>
      <c r="N117" s="358"/>
      <c r="O117" s="288"/>
      <c r="P117" s="11"/>
      <c r="R117" s="43"/>
    </row>
    <row r="118" spans="1:18" s="13" customFormat="1">
      <c r="C118" s="43">
        <v>5081</v>
      </c>
      <c r="D118" s="43" t="s">
        <v>77</v>
      </c>
      <c r="E118" s="148" t="s">
        <v>158</v>
      </c>
      <c r="F118" s="148" t="s">
        <v>94</v>
      </c>
      <c r="G118" s="447">
        <v>15000000</v>
      </c>
      <c r="H118" s="470" t="s">
        <v>802</v>
      </c>
      <c r="I118" s="312"/>
      <c r="J118" s="358"/>
      <c r="K118" s="11"/>
      <c r="L118" s="358"/>
      <c r="M118" s="49"/>
      <c r="N118" s="358"/>
      <c r="O118" s="288"/>
      <c r="P118" s="11"/>
      <c r="R118" s="43"/>
    </row>
    <row r="119" spans="1:18">
      <c r="E119" s="43"/>
      <c r="G119" s="300">
        <f>SUM(G116:G118)</f>
        <v>21400000</v>
      </c>
      <c r="H119" s="3"/>
      <c r="I119" s="3"/>
      <c r="M119" s="391"/>
      <c r="N119" s="167"/>
    </row>
    <row r="120" spans="1:18">
      <c r="E120" s="43"/>
      <c r="I120" s="83"/>
      <c r="M120" s="391"/>
      <c r="N120" s="461"/>
      <c r="Q120" s="1"/>
    </row>
    <row r="121" spans="1:18">
      <c r="J121" s="3"/>
      <c r="N121" s="462"/>
      <c r="Q121" s="1"/>
    </row>
    <row r="122" spans="1:18">
      <c r="J122" s="3"/>
      <c r="Q122" s="1"/>
    </row>
    <row r="123" spans="1:18">
      <c r="J123" s="3"/>
      <c r="Q123" s="1"/>
    </row>
    <row r="124" spans="1:18">
      <c r="J124" s="3"/>
      <c r="Q124" s="1"/>
    </row>
    <row r="125" spans="1:18">
      <c r="G125" s="167"/>
      <c r="Q125" s="1"/>
    </row>
    <row r="126" spans="1:18">
      <c r="G126" s="14"/>
      <c r="H126" s="1"/>
      <c r="Q126" s="1"/>
    </row>
    <row r="127" spans="1:18">
      <c r="G127" s="391"/>
      <c r="Q127" s="1"/>
    </row>
    <row r="128" spans="1:18">
      <c r="G128" s="3"/>
      <c r="H128" s="3"/>
      <c r="I128" s="3"/>
      <c r="J128" s="3"/>
      <c r="K128" s="3"/>
      <c r="L128" s="3"/>
      <c r="M128" s="3"/>
      <c r="Q128" s="1"/>
    </row>
    <row r="129" spans="7:17">
      <c r="G129" s="3"/>
      <c r="H129" s="3"/>
      <c r="I129" s="3"/>
      <c r="J129" s="3"/>
      <c r="K129" s="3"/>
      <c r="L129" s="3"/>
      <c r="M129" s="3"/>
      <c r="Q129" s="1"/>
    </row>
    <row r="130" spans="7:17">
      <c r="H130" s="1"/>
      <c r="L130" s="1"/>
      <c r="Q130" s="1"/>
    </row>
    <row r="131" spans="7:17">
      <c r="H131" s="1"/>
      <c r="L131" s="1"/>
      <c r="Q131" s="1"/>
    </row>
    <row r="132" spans="7:17">
      <c r="H132" s="1"/>
      <c r="L132" s="1"/>
      <c r="Q132" s="1"/>
    </row>
    <row r="133" spans="7:17">
      <c r="G133" s="168"/>
      <c r="H133" s="168"/>
      <c r="I133" s="168"/>
      <c r="J133" s="168"/>
      <c r="K133" s="168"/>
      <c r="L133" s="168"/>
      <c r="M133" s="168"/>
      <c r="Q133" s="1"/>
    </row>
    <row r="134" spans="7:17">
      <c r="G134" s="168"/>
      <c r="H134" s="168"/>
      <c r="I134" s="168"/>
      <c r="J134" s="168"/>
      <c r="K134" s="168"/>
      <c r="L134" s="168"/>
      <c r="M134" s="168"/>
      <c r="Q134" s="1"/>
    </row>
    <row r="135" spans="7:17">
      <c r="G135" s="167"/>
      <c r="Q135" s="1"/>
    </row>
    <row r="136" spans="7:17">
      <c r="G136" s="392"/>
      <c r="H136" s="1"/>
      <c r="L136" s="1"/>
      <c r="Q136" s="1"/>
    </row>
    <row r="137" spans="7:17">
      <c r="G137" s="393"/>
      <c r="H137" s="1"/>
      <c r="L137" s="1"/>
      <c r="Q137" s="1"/>
    </row>
    <row r="139" spans="7:17">
      <c r="G139" s="168"/>
      <c r="H139" s="1"/>
      <c r="L139" s="1"/>
      <c r="Q139" s="1"/>
    </row>
  </sheetData>
  <autoFilter ref="A6:S74" xr:uid="{00000000-0001-0000-1400-000000000000}">
    <sortState xmlns:xlrd2="http://schemas.microsoft.com/office/spreadsheetml/2017/richdata2" ref="A7:S74">
      <sortCondition ref="A6:A74"/>
    </sortState>
  </autoFilter>
  <phoneticPr fontId="0" type="noConversion"/>
  <pageMargins left="0.75" right="0.75" top="1" bottom="1" header="0.5" footer="0.5"/>
  <pageSetup scale="50" fitToHeight="3" orientation="landscape" horizontalDpi="4294967292" vertic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5AF12-B259-44E6-AE94-4C162E6F78F1}">
  <sheetPr codeName="Sheet25"/>
  <dimension ref="A1:T49"/>
  <sheetViews>
    <sheetView zoomScaleNormal="100" workbookViewId="0">
      <selection activeCell="M35" sqref="M35"/>
    </sheetView>
  </sheetViews>
  <sheetFormatPr defaultRowHeight="11.4"/>
  <cols>
    <col min="1" max="1" width="9.625" customWidth="1"/>
    <col min="2" max="2" width="12" customWidth="1"/>
    <col min="3" max="3" width="29.25" customWidth="1"/>
    <col min="4" max="4" width="35" customWidth="1"/>
    <col min="5" max="5" width="12.125" bestFit="1" customWidth="1"/>
    <col min="6" max="6" width="16.375" bestFit="1" customWidth="1"/>
    <col min="7" max="7" width="17.375" bestFit="1" customWidth="1"/>
    <col min="8" max="8" width="18.125" bestFit="1" customWidth="1"/>
    <col min="9" max="9" width="11.875" bestFit="1" customWidth="1"/>
    <col min="10" max="10" width="17.75" bestFit="1" customWidth="1"/>
    <col min="11" max="11" width="11.875" bestFit="1" customWidth="1"/>
    <col min="12" max="12" width="17.625" bestFit="1" customWidth="1"/>
    <col min="13" max="13" width="21.625" bestFit="1" customWidth="1"/>
    <col min="14" max="14" width="13.375" bestFit="1" customWidth="1"/>
    <col min="15" max="15" width="15.25" bestFit="1" customWidth="1"/>
    <col min="16" max="16" width="8.75" bestFit="1" customWidth="1"/>
    <col min="17" max="17" width="14.25" bestFit="1" customWidth="1"/>
    <col min="18" max="19" width="2.75" customWidth="1"/>
    <col min="20" max="20" width="26.25" bestFit="1" customWidth="1"/>
  </cols>
  <sheetData>
    <row r="1" spans="1:20" ht="13.2">
      <c r="A1" s="159"/>
      <c r="B1" s="159" t="s">
        <v>239</v>
      </c>
      <c r="C1" s="160"/>
      <c r="D1" s="161"/>
      <c r="E1" s="163"/>
      <c r="F1" s="173"/>
      <c r="G1" s="173"/>
      <c r="H1" s="174"/>
      <c r="I1" s="174"/>
      <c r="J1" s="175"/>
      <c r="K1" s="174"/>
      <c r="L1" s="173"/>
      <c r="M1" s="174"/>
      <c r="N1" s="366"/>
      <c r="O1" s="366"/>
      <c r="P1" s="366"/>
      <c r="Q1" s="271"/>
      <c r="T1" s="339" t="s">
        <v>89</v>
      </c>
    </row>
    <row r="2" spans="1:20" ht="13.2">
      <c r="A2" s="153" t="s">
        <v>32</v>
      </c>
      <c r="B2" s="272" t="s">
        <v>37</v>
      </c>
      <c r="C2" s="273" t="s">
        <v>31</v>
      </c>
      <c r="D2" s="274" t="s">
        <v>49</v>
      </c>
      <c r="E2" s="274" t="s">
        <v>45</v>
      </c>
      <c r="F2" s="176" t="s">
        <v>84</v>
      </c>
      <c r="G2" s="176" t="s">
        <v>85</v>
      </c>
      <c r="H2" s="275" t="s">
        <v>96</v>
      </c>
      <c r="I2" s="275" t="s">
        <v>86</v>
      </c>
      <c r="J2" s="177" t="s">
        <v>87</v>
      </c>
      <c r="K2" s="275"/>
      <c r="L2" s="176" t="s">
        <v>88</v>
      </c>
      <c r="M2" s="276" t="s">
        <v>89</v>
      </c>
      <c r="N2" s="367" t="s">
        <v>22</v>
      </c>
      <c r="O2" s="369" t="s">
        <v>172</v>
      </c>
      <c r="P2" s="369" t="s">
        <v>252</v>
      </c>
      <c r="Q2" s="370" t="s">
        <v>254</v>
      </c>
      <c r="T2" s="340" t="s">
        <v>90</v>
      </c>
    </row>
    <row r="3" spans="1:20" ht="13.2">
      <c r="A3" s="153" t="s">
        <v>48</v>
      </c>
      <c r="B3" s="278"/>
      <c r="C3" s="273"/>
      <c r="D3" s="274"/>
      <c r="E3" s="274"/>
      <c r="F3" s="176" t="s">
        <v>55</v>
      </c>
      <c r="G3" s="176" t="s">
        <v>55</v>
      </c>
      <c r="H3" s="275" t="s">
        <v>9</v>
      </c>
      <c r="I3" s="275" t="s">
        <v>18</v>
      </c>
      <c r="J3" s="177" t="s">
        <v>55</v>
      </c>
      <c r="K3" s="275" t="s">
        <v>18</v>
      </c>
      <c r="L3" s="176" t="s">
        <v>55</v>
      </c>
      <c r="M3" s="276" t="s">
        <v>90</v>
      </c>
      <c r="N3" s="367" t="s">
        <v>5</v>
      </c>
      <c r="O3" s="369" t="s">
        <v>171</v>
      </c>
      <c r="P3" s="369" t="s">
        <v>253</v>
      </c>
      <c r="Q3" s="370" t="s">
        <v>255</v>
      </c>
      <c r="T3" s="340" t="s">
        <v>371</v>
      </c>
    </row>
    <row r="4" spans="1:20" ht="13.8" thickBot="1">
      <c r="A4" s="154" t="s">
        <v>17</v>
      </c>
      <c r="B4" s="155"/>
      <c r="C4" s="156"/>
      <c r="D4" s="157"/>
      <c r="E4" s="157"/>
      <c r="F4" s="178"/>
      <c r="G4" s="178"/>
      <c r="H4" s="179"/>
      <c r="I4" s="179"/>
      <c r="J4" s="180"/>
      <c r="K4" s="179"/>
      <c r="L4" s="178"/>
      <c r="M4" s="178"/>
      <c r="N4" s="368" t="s">
        <v>9</v>
      </c>
      <c r="O4" s="368"/>
      <c r="P4" s="368"/>
      <c r="Q4" s="371" t="s">
        <v>9</v>
      </c>
      <c r="T4" s="341" t="s">
        <v>440</v>
      </c>
    </row>
    <row r="5" spans="1:20" ht="12">
      <c r="A5" s="31" t="s">
        <v>149</v>
      </c>
      <c r="H5" s="199"/>
      <c r="I5" s="3"/>
      <c r="J5" s="124"/>
      <c r="K5" s="7"/>
      <c r="L5" s="124"/>
      <c r="M5" s="124"/>
      <c r="N5" s="7"/>
    </row>
    <row r="6" spans="1:20" s="4" customFormat="1">
      <c r="A6" s="31" t="s">
        <v>240</v>
      </c>
      <c r="B6" s="4" t="s">
        <v>77</v>
      </c>
      <c r="C6" s="5" t="s">
        <v>98</v>
      </c>
      <c r="D6" s="5" t="s">
        <v>220</v>
      </c>
      <c r="E6" s="4" t="s">
        <v>79</v>
      </c>
      <c r="F6" s="124">
        <v>35000000</v>
      </c>
      <c r="G6" s="124">
        <f>F6</f>
        <v>35000000</v>
      </c>
      <c r="H6" s="7">
        <v>43474</v>
      </c>
      <c r="I6" s="7">
        <v>43474</v>
      </c>
      <c r="J6" s="124">
        <f>G6</f>
        <v>35000000</v>
      </c>
      <c r="K6" s="7">
        <v>44560</v>
      </c>
      <c r="L6" s="124">
        <v>0</v>
      </c>
      <c r="M6" s="124">
        <f t="shared" ref="M6" si="0">J6-L6</f>
        <v>35000000</v>
      </c>
      <c r="N6" s="7">
        <v>43474</v>
      </c>
      <c r="O6" s="5">
        <v>3</v>
      </c>
      <c r="P6" s="5">
        <v>273</v>
      </c>
      <c r="Q6" s="6">
        <v>43102</v>
      </c>
      <c r="T6" s="124">
        <f>M6</f>
        <v>35000000</v>
      </c>
    </row>
    <row r="7" spans="1:20" s="1" customFormat="1" ht="12">
      <c r="A7" s="137"/>
      <c r="F7" s="9"/>
      <c r="G7" s="9"/>
      <c r="H7" s="3"/>
      <c r="J7" s="9"/>
      <c r="L7" s="9"/>
      <c r="M7" s="9"/>
    </row>
    <row r="8" spans="1:20" ht="12">
      <c r="F8" s="193">
        <f>SUM(F5:F7)</f>
        <v>35000000</v>
      </c>
      <c r="G8" s="193">
        <f>SUM(G5:G7)</f>
        <v>35000000</v>
      </c>
      <c r="H8" s="133"/>
      <c r="I8" s="133"/>
      <c r="J8" s="327">
        <f>SUM(J5:J7)</f>
        <v>35000000</v>
      </c>
      <c r="K8" s="133"/>
      <c r="L8" s="85">
        <f>SUM(L5:L7)</f>
        <v>0</v>
      </c>
      <c r="M8" s="85">
        <f>SUM(M5:M7)</f>
        <v>35000000</v>
      </c>
      <c r="T8" s="193">
        <f>SUM(T6)</f>
        <v>35000000</v>
      </c>
    </row>
    <row r="10" spans="1:20">
      <c r="F10" s="192"/>
      <c r="G10" s="362"/>
    </row>
    <row r="11" spans="1:20" ht="12" thickBot="1">
      <c r="F11" s="197"/>
    </row>
    <row r="12" spans="1:20" ht="13.2">
      <c r="A12" s="159"/>
      <c r="B12" s="159" t="s">
        <v>256</v>
      </c>
      <c r="C12" s="131"/>
      <c r="D12" s="131"/>
      <c r="E12" s="131"/>
      <c r="F12" s="181"/>
      <c r="G12" s="181"/>
      <c r="H12" s="181"/>
      <c r="I12" s="181"/>
      <c r="J12" s="181"/>
      <c r="K12" s="181"/>
      <c r="L12" s="181"/>
      <c r="M12" s="181"/>
      <c r="N12" s="280"/>
    </row>
    <row r="13" spans="1:20" ht="13.2">
      <c r="A13" s="153" t="s">
        <v>32</v>
      </c>
      <c r="B13" s="272" t="s">
        <v>37</v>
      </c>
      <c r="C13" s="273" t="s">
        <v>31</v>
      </c>
      <c r="D13" s="281" t="s">
        <v>49</v>
      </c>
      <c r="E13" s="281" t="s">
        <v>45</v>
      </c>
      <c r="F13" s="176" t="s">
        <v>84</v>
      </c>
      <c r="G13" s="176" t="s">
        <v>54</v>
      </c>
      <c r="H13" s="275"/>
      <c r="I13" s="275" t="s">
        <v>34</v>
      </c>
      <c r="J13" s="177" t="s">
        <v>87</v>
      </c>
      <c r="K13" s="275"/>
      <c r="L13" s="176" t="s">
        <v>92</v>
      </c>
      <c r="M13" s="276" t="s">
        <v>89</v>
      </c>
      <c r="N13" s="277" t="s">
        <v>22</v>
      </c>
    </row>
    <row r="14" spans="1:20" ht="13.2">
      <c r="A14" s="153" t="s">
        <v>48</v>
      </c>
      <c r="B14" s="278"/>
      <c r="C14" s="273"/>
      <c r="D14" s="281"/>
      <c r="E14" s="281"/>
      <c r="F14" s="176" t="s">
        <v>55</v>
      </c>
      <c r="G14" s="176" t="s">
        <v>55</v>
      </c>
      <c r="H14" s="275" t="s">
        <v>9</v>
      </c>
      <c r="I14" s="275" t="s">
        <v>18</v>
      </c>
      <c r="J14" s="177" t="s">
        <v>55</v>
      </c>
      <c r="K14" s="275" t="s">
        <v>18</v>
      </c>
      <c r="L14" s="176" t="s">
        <v>55</v>
      </c>
      <c r="M14" s="276" t="s">
        <v>90</v>
      </c>
      <c r="N14" s="277" t="s">
        <v>5</v>
      </c>
    </row>
    <row r="15" spans="1:20" ht="13.8" thickBot="1">
      <c r="A15" s="154" t="s">
        <v>17</v>
      </c>
      <c r="B15" s="155"/>
      <c r="C15" s="156"/>
      <c r="D15" s="158"/>
      <c r="E15" s="158"/>
      <c r="F15" s="178"/>
      <c r="G15" s="178"/>
      <c r="H15" s="179"/>
      <c r="I15" s="179"/>
      <c r="J15" s="182"/>
      <c r="K15" s="179"/>
      <c r="L15" s="178"/>
      <c r="M15" s="183" t="s">
        <v>93</v>
      </c>
      <c r="N15" s="279" t="s">
        <v>9</v>
      </c>
    </row>
    <row r="16" spans="1:20">
      <c r="A16" s="162" t="s">
        <v>56</v>
      </c>
    </row>
    <row r="17" spans="1:20" s="186" customFormat="1" ht="12">
      <c r="A17" s="48"/>
      <c r="B17" s="48"/>
      <c r="C17" s="282"/>
      <c r="D17" s="282"/>
      <c r="E17" s="282"/>
      <c r="F17" s="124"/>
      <c r="G17" s="124"/>
      <c r="H17" s="7"/>
      <c r="I17" s="184"/>
      <c r="J17" s="124"/>
      <c r="K17" s="184"/>
      <c r="L17" s="32"/>
      <c r="M17" s="124"/>
      <c r="N17" s="152"/>
    </row>
    <row r="18" spans="1:20" ht="12">
      <c r="A18" s="13"/>
      <c r="B18" s="13"/>
      <c r="C18" s="13"/>
      <c r="D18" s="13"/>
      <c r="E18" s="13"/>
      <c r="F18" s="288"/>
      <c r="G18" s="185"/>
      <c r="H18" s="185"/>
      <c r="I18" s="185"/>
      <c r="J18" s="185"/>
      <c r="K18" s="185"/>
      <c r="M18" s="203"/>
      <c r="N18" s="152"/>
    </row>
    <row r="19" spans="1:20" ht="12">
      <c r="F19" s="185"/>
      <c r="G19" s="185"/>
      <c r="H19" s="185"/>
      <c r="I19" s="185"/>
      <c r="J19" s="193">
        <f>SUM(J17:J18)</f>
        <v>0</v>
      </c>
      <c r="K19" s="328"/>
      <c r="L19" s="193">
        <f>SUM(L17:L18)</f>
        <v>0</v>
      </c>
      <c r="M19" s="193">
        <f>SUM(M17:M18)</f>
        <v>0</v>
      </c>
      <c r="N19" s="152"/>
      <c r="T19" s="193">
        <f>SUM(T17)</f>
        <v>0</v>
      </c>
    </row>
    <row r="20" spans="1:20" ht="12">
      <c r="F20" s="185"/>
      <c r="G20" s="185"/>
      <c r="H20" s="289"/>
      <c r="I20" s="185"/>
      <c r="J20" s="185"/>
      <c r="K20" s="185"/>
      <c r="N20" s="152"/>
    </row>
    <row r="21" spans="1:20" ht="12.6" thickBot="1">
      <c r="F21" s="185"/>
      <c r="G21" s="185"/>
      <c r="H21" s="289"/>
      <c r="I21" s="185"/>
      <c r="J21" s="185"/>
      <c r="K21" s="185"/>
      <c r="N21" s="152"/>
    </row>
    <row r="22" spans="1:20" ht="12">
      <c r="A22" s="169" t="s">
        <v>94</v>
      </c>
      <c r="F22" s="185"/>
      <c r="G22" s="188"/>
      <c r="H22" s="152"/>
      <c r="I22" s="185"/>
      <c r="J22" s="185"/>
      <c r="K22" s="289"/>
      <c r="N22" s="152"/>
    </row>
    <row r="23" spans="1:20" ht="12">
      <c r="A23" s="43">
        <v>4895</v>
      </c>
      <c r="B23" s="43" t="s">
        <v>77</v>
      </c>
      <c r="C23" s="36" t="s">
        <v>161</v>
      </c>
      <c r="D23" s="36" t="s">
        <v>296</v>
      </c>
      <c r="E23" s="148" t="s">
        <v>80</v>
      </c>
      <c r="F23" s="9">
        <v>35000000</v>
      </c>
      <c r="G23" s="9">
        <v>35000000</v>
      </c>
      <c r="H23" s="3">
        <v>43300</v>
      </c>
      <c r="I23" s="152">
        <v>43335</v>
      </c>
      <c r="J23" s="9">
        <v>35000000</v>
      </c>
      <c r="K23" s="152">
        <v>44560</v>
      </c>
      <c r="L23" s="352">
        <v>35000000</v>
      </c>
      <c r="M23" s="479">
        <f>J23-L23</f>
        <v>0</v>
      </c>
      <c r="N23" s="480">
        <v>44496</v>
      </c>
      <c r="O23" s="209" t="s">
        <v>838</v>
      </c>
      <c r="T23" s="124">
        <f>M23</f>
        <v>0</v>
      </c>
    </row>
    <row r="24" spans="1:20" ht="12">
      <c r="A24" s="43">
        <v>4903</v>
      </c>
      <c r="B24" s="43" t="s">
        <v>77</v>
      </c>
      <c r="C24" s="36" t="s">
        <v>161</v>
      </c>
      <c r="D24" s="36" t="s">
        <v>296</v>
      </c>
      <c r="E24" s="148" t="s">
        <v>230</v>
      </c>
      <c r="F24" s="9">
        <v>35000000</v>
      </c>
      <c r="G24" s="9">
        <v>35000000</v>
      </c>
      <c r="H24" s="3">
        <v>43313</v>
      </c>
      <c r="I24" s="152">
        <v>43348</v>
      </c>
      <c r="J24" s="9">
        <v>6500000</v>
      </c>
      <c r="K24" s="152">
        <v>44560</v>
      </c>
      <c r="L24" s="288">
        <v>0</v>
      </c>
      <c r="M24" s="9">
        <f t="shared" ref="M24" si="1">J24-L24</f>
        <v>6500000</v>
      </c>
      <c r="N24" s="152">
        <v>44336</v>
      </c>
      <c r="O24" s="43"/>
      <c r="T24" s="124">
        <f>M24</f>
        <v>6500000</v>
      </c>
    </row>
    <row r="25" spans="1:20" ht="12">
      <c r="A25" s="43">
        <v>4924</v>
      </c>
      <c r="B25" s="43" t="s">
        <v>77</v>
      </c>
      <c r="C25" s="36" t="s">
        <v>164</v>
      </c>
      <c r="D25" s="36" t="s">
        <v>296</v>
      </c>
      <c r="E25" s="148" t="s">
        <v>165</v>
      </c>
      <c r="F25" s="9">
        <v>30000000</v>
      </c>
      <c r="G25" s="9">
        <v>30000000</v>
      </c>
      <c r="H25" s="3">
        <v>43336</v>
      </c>
      <c r="I25" s="152">
        <v>43371</v>
      </c>
      <c r="J25" s="83">
        <v>20000318.550000001</v>
      </c>
      <c r="K25" s="152">
        <v>44560</v>
      </c>
      <c r="L25" s="45">
        <v>0</v>
      </c>
      <c r="M25" s="83">
        <f t="shared" ref="M25" si="2">J25-L25</f>
        <v>20000318.550000001</v>
      </c>
      <c r="N25" s="152">
        <v>43543</v>
      </c>
      <c r="O25" s="43"/>
      <c r="T25" s="144">
        <f>M25</f>
        <v>20000318.550000001</v>
      </c>
    </row>
    <row r="26" spans="1:20" s="186" customFormat="1" ht="12">
      <c r="A26" s="13"/>
      <c r="B26" s="13"/>
      <c r="C26" s="13"/>
      <c r="D26" s="13"/>
      <c r="E26" s="13"/>
      <c r="F26" s="288"/>
      <c r="G26" s="124"/>
      <c r="H26" s="7"/>
      <c r="I26" s="184"/>
      <c r="J26" s="124"/>
      <c r="K26" s="184"/>
      <c r="L26" s="32"/>
      <c r="M26" s="124"/>
      <c r="N26" s="184"/>
    </row>
    <row r="27" spans="1:20" ht="12">
      <c r="A27" s="13"/>
      <c r="B27" s="13"/>
      <c r="C27" s="13"/>
      <c r="D27" s="13"/>
      <c r="E27" s="13"/>
      <c r="F27" s="288"/>
      <c r="G27" s="71"/>
      <c r="H27" s="3"/>
      <c r="I27" s="3"/>
      <c r="J27" s="77">
        <f>SUM(J23:J26)</f>
        <v>61500318.549999997</v>
      </c>
      <c r="K27" s="7"/>
      <c r="L27" s="77">
        <f>SUM(L23:L26)</f>
        <v>35000000</v>
      </c>
      <c r="M27" s="77">
        <f>SUM(M23:M26)</f>
        <v>26500318.550000001</v>
      </c>
      <c r="N27" s="152"/>
      <c r="T27" s="77">
        <f>SUM(T23:T26)</f>
        <v>26500318.550000001</v>
      </c>
    </row>
    <row r="28" spans="1:20" ht="12.6" thickBot="1">
      <c r="C28" s="514"/>
      <c r="D28" s="514"/>
      <c r="F28" s="185"/>
      <c r="G28" s="185"/>
      <c r="H28" s="185"/>
      <c r="I28" s="185"/>
      <c r="J28" s="185"/>
      <c r="K28" s="289"/>
      <c r="M28" s="192"/>
      <c r="N28" s="152"/>
    </row>
    <row r="29" spans="1:20" ht="12">
      <c r="A29" s="169" t="s">
        <v>60</v>
      </c>
      <c r="C29" s="514"/>
      <c r="D29" s="514"/>
      <c r="F29" s="185"/>
      <c r="G29" s="188"/>
      <c r="H29" s="152"/>
      <c r="I29" s="185"/>
      <c r="J29" s="185"/>
      <c r="K29" s="185"/>
      <c r="N29" s="152"/>
    </row>
    <row r="30" spans="1:20" ht="12">
      <c r="A30" s="43">
        <v>4940</v>
      </c>
      <c r="B30" s="43" t="s">
        <v>77</v>
      </c>
      <c r="C30" s="36" t="s">
        <v>277</v>
      </c>
      <c r="D30" s="13" t="s">
        <v>317</v>
      </c>
      <c r="E30" s="43" t="s">
        <v>232</v>
      </c>
      <c r="F30" s="388">
        <v>94065843.159999996</v>
      </c>
      <c r="G30" s="82">
        <v>94065843.159999996</v>
      </c>
      <c r="H30" s="292">
        <v>43417</v>
      </c>
      <c r="I30" s="152">
        <v>43452</v>
      </c>
      <c r="J30" s="389">
        <v>65843.159999996424</v>
      </c>
      <c r="K30" s="292">
        <v>44560</v>
      </c>
      <c r="L30" s="149">
        <v>0</v>
      </c>
      <c r="M30" s="250">
        <f>J30-L30</f>
        <v>65843.159999996424</v>
      </c>
      <c r="N30" s="152">
        <v>44166</v>
      </c>
      <c r="O30" s="43"/>
      <c r="P30" s="43"/>
      <c r="Q30" s="43"/>
      <c r="R30" s="43"/>
      <c r="T30" s="124">
        <f>M30</f>
        <v>65843.159999996424</v>
      </c>
    </row>
    <row r="31" spans="1:20" ht="12">
      <c r="N31" s="152"/>
    </row>
    <row r="32" spans="1:20" ht="12">
      <c r="I32" s="197"/>
      <c r="J32" s="344">
        <f>SUM(J30:J31)</f>
        <v>65843.159999996424</v>
      </c>
      <c r="K32" s="186"/>
      <c r="L32" s="77">
        <f>SUM(L30:L31)</f>
        <v>0</v>
      </c>
      <c r="M32" s="77">
        <f>SUM(M30:M31)</f>
        <v>65843.159999996424</v>
      </c>
      <c r="N32" s="152"/>
      <c r="T32" s="77">
        <f>SUM(T30:T31)</f>
        <v>65843.159999996424</v>
      </c>
    </row>
    <row r="33" spans="7:20" ht="12">
      <c r="I33" s="197"/>
      <c r="N33" s="152"/>
    </row>
    <row r="34" spans="7:20">
      <c r="G34" s="268"/>
    </row>
    <row r="35" spans="7:20" ht="12.6" thickBot="1">
      <c r="G35" s="268"/>
      <c r="J35" s="343">
        <f>J8+J19+J27+J32</f>
        <v>96566161.709999993</v>
      </c>
      <c r="M35" s="343">
        <f>M32+M27+M19+M8</f>
        <v>61566161.709999993</v>
      </c>
      <c r="O35" s="264"/>
      <c r="P35" s="264"/>
      <c r="Q35" s="264"/>
      <c r="R35" s="264"/>
      <c r="T35" s="412">
        <f>T8+T19+T27+T32</f>
        <v>61566161.709999993</v>
      </c>
    </row>
    <row r="36" spans="7:20" ht="12" thickTop="1">
      <c r="L36" s="192"/>
      <c r="M36" s="197"/>
    </row>
    <row r="37" spans="7:20">
      <c r="K37" s="199"/>
      <c r="L37" s="192"/>
    </row>
    <row r="38" spans="7:20">
      <c r="G38" s="199"/>
      <c r="K38" s="199"/>
      <c r="M38" s="192"/>
    </row>
    <row r="39" spans="7:20">
      <c r="G39" s="199"/>
    </row>
    <row r="40" spans="7:20">
      <c r="G40" s="199"/>
    </row>
    <row r="41" spans="7:20">
      <c r="G41" s="199"/>
    </row>
    <row r="47" spans="7:20">
      <c r="P47" s="199"/>
      <c r="Q47" s="199"/>
    </row>
    <row r="48" spans="7:20">
      <c r="P48" s="199"/>
      <c r="Q48" s="199"/>
    </row>
    <row r="49" spans="17:17">
      <c r="Q49" s="199"/>
    </row>
  </sheetData>
  <phoneticPr fontId="3" type="noConversion"/>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7DDEA-84D0-4385-AFF5-DD1DD9E55B68}">
  <sheetPr codeName="Sheet26"/>
  <dimension ref="A1:T55"/>
  <sheetViews>
    <sheetView zoomScaleNormal="100" workbookViewId="0">
      <selection activeCell="M46" sqref="M46"/>
    </sheetView>
  </sheetViews>
  <sheetFormatPr defaultRowHeight="11.4"/>
  <cols>
    <col min="1" max="1" width="9.75" style="514" customWidth="1"/>
    <col min="2" max="2" width="9.25" customWidth="1"/>
    <col min="3" max="3" width="41.125" bestFit="1" customWidth="1"/>
    <col min="4" max="4" width="32.625" customWidth="1"/>
    <col min="5" max="5" width="12.125" bestFit="1" customWidth="1"/>
    <col min="6" max="7" width="15.75" bestFit="1" customWidth="1"/>
    <col min="8" max="8" width="16.375" customWidth="1"/>
    <col min="9" max="9" width="10.375" customWidth="1"/>
    <col min="10" max="10" width="17.125" customWidth="1"/>
    <col min="11" max="11" width="10.375" customWidth="1"/>
    <col min="12" max="12" width="17.625" bestFit="1" customWidth="1"/>
    <col min="13" max="13" width="18.625" bestFit="1" customWidth="1"/>
    <col min="14" max="14" width="11" bestFit="1" customWidth="1"/>
    <col min="15" max="15" width="19.625" customWidth="1"/>
    <col min="16" max="16" width="13.625" bestFit="1" customWidth="1"/>
    <col min="17" max="17" width="12.75" customWidth="1"/>
    <col min="18" max="19" width="3" customWidth="1"/>
    <col min="20" max="20" width="26.75" bestFit="1" customWidth="1"/>
  </cols>
  <sheetData>
    <row r="1" spans="1:20" ht="13.2">
      <c r="A1" s="513"/>
      <c r="B1" s="159" t="s">
        <v>261</v>
      </c>
      <c r="C1" s="160"/>
      <c r="D1" s="161"/>
      <c r="E1" s="163"/>
      <c r="F1" s="173"/>
      <c r="G1" s="173"/>
      <c r="H1" s="174"/>
      <c r="I1" s="174"/>
      <c r="J1" s="175"/>
      <c r="K1" s="174"/>
      <c r="L1" s="173"/>
      <c r="M1" s="174"/>
      <c r="N1" s="366"/>
      <c r="O1" s="366"/>
      <c r="P1" s="366"/>
      <c r="Q1" s="271"/>
      <c r="T1" s="339" t="s">
        <v>89</v>
      </c>
    </row>
    <row r="2" spans="1:20" ht="13.2">
      <c r="A2" s="153" t="s">
        <v>32</v>
      </c>
      <c r="B2" s="272" t="s">
        <v>37</v>
      </c>
      <c r="C2" s="273" t="s">
        <v>31</v>
      </c>
      <c r="D2" s="274" t="s">
        <v>49</v>
      </c>
      <c r="E2" s="274" t="s">
        <v>45</v>
      </c>
      <c r="F2" s="176" t="s">
        <v>84</v>
      </c>
      <c r="G2" s="176" t="s">
        <v>85</v>
      </c>
      <c r="H2" s="275" t="s">
        <v>96</v>
      </c>
      <c r="I2" s="275" t="s">
        <v>86</v>
      </c>
      <c r="J2" s="177" t="s">
        <v>87</v>
      </c>
      <c r="K2" s="275"/>
      <c r="L2" s="176" t="s">
        <v>88</v>
      </c>
      <c r="M2" s="276" t="s">
        <v>89</v>
      </c>
      <c r="N2" s="367" t="s">
        <v>22</v>
      </c>
      <c r="O2" s="369" t="s">
        <v>172</v>
      </c>
      <c r="P2" s="369" t="s">
        <v>252</v>
      </c>
      <c r="Q2" s="370" t="s">
        <v>254</v>
      </c>
      <c r="T2" s="340" t="s">
        <v>90</v>
      </c>
    </row>
    <row r="3" spans="1:20" ht="13.2">
      <c r="A3" s="153" t="s">
        <v>48</v>
      </c>
      <c r="B3" s="278"/>
      <c r="C3" s="273"/>
      <c r="D3" s="274"/>
      <c r="E3" s="274"/>
      <c r="F3" s="176" t="s">
        <v>55</v>
      </c>
      <c r="G3" s="176" t="s">
        <v>55</v>
      </c>
      <c r="H3" s="275" t="s">
        <v>9</v>
      </c>
      <c r="I3" s="275" t="s">
        <v>18</v>
      </c>
      <c r="J3" s="177" t="s">
        <v>55</v>
      </c>
      <c r="K3" s="275" t="s">
        <v>18</v>
      </c>
      <c r="L3" s="176" t="s">
        <v>55</v>
      </c>
      <c r="M3" s="276" t="s">
        <v>90</v>
      </c>
      <c r="N3" s="367" t="s">
        <v>5</v>
      </c>
      <c r="O3" s="369" t="s">
        <v>171</v>
      </c>
      <c r="P3" s="369" t="s">
        <v>253</v>
      </c>
      <c r="Q3" s="370" t="s">
        <v>255</v>
      </c>
      <c r="T3" s="340" t="s">
        <v>371</v>
      </c>
    </row>
    <row r="4" spans="1:20" ht="13.8" thickBot="1">
      <c r="A4" s="154" t="s">
        <v>17</v>
      </c>
      <c r="B4" s="155"/>
      <c r="C4" s="156"/>
      <c r="D4" s="157"/>
      <c r="E4" s="157"/>
      <c r="F4" s="178"/>
      <c r="G4" s="178"/>
      <c r="H4" s="179"/>
      <c r="I4" s="179"/>
      <c r="J4" s="180"/>
      <c r="K4" s="179"/>
      <c r="L4" s="178"/>
      <c r="M4" s="178"/>
      <c r="N4" s="368" t="s">
        <v>9</v>
      </c>
      <c r="O4" s="368"/>
      <c r="P4" s="368"/>
      <c r="Q4" s="371" t="s">
        <v>9</v>
      </c>
      <c r="T4" s="341" t="s">
        <v>440</v>
      </c>
    </row>
    <row r="5" spans="1:20">
      <c r="A5" s="31" t="s">
        <v>259</v>
      </c>
    </row>
    <row r="6" spans="1:20" ht="12">
      <c r="A6" s="13" t="s">
        <v>374</v>
      </c>
      <c r="B6" s="13" t="s">
        <v>391</v>
      </c>
      <c r="C6" s="13" t="s">
        <v>76</v>
      </c>
      <c r="D6" s="13" t="s">
        <v>332</v>
      </c>
      <c r="E6" s="13" t="s">
        <v>78</v>
      </c>
      <c r="F6" s="288">
        <v>50000000</v>
      </c>
      <c r="G6" s="288">
        <f>F6</f>
        <v>50000000</v>
      </c>
      <c r="H6" s="3">
        <v>43831</v>
      </c>
      <c r="I6" s="3">
        <v>43838</v>
      </c>
      <c r="J6" s="288">
        <v>50000000</v>
      </c>
      <c r="K6" s="3">
        <v>44925</v>
      </c>
      <c r="L6" s="288">
        <v>50000000</v>
      </c>
      <c r="M6" s="288">
        <f t="shared" ref="M6:M13" si="0">J6-L6</f>
        <v>0</v>
      </c>
      <c r="N6" s="3">
        <v>44345</v>
      </c>
      <c r="O6" s="13">
        <v>3</v>
      </c>
      <c r="P6" s="13">
        <v>300</v>
      </c>
      <c r="Q6" s="11">
        <v>43818</v>
      </c>
      <c r="R6" s="455"/>
      <c r="T6" s="432">
        <f>M6</f>
        <v>0</v>
      </c>
    </row>
    <row r="7" spans="1:20" s="186" customFormat="1" ht="12">
      <c r="A7" s="5" t="s">
        <v>375</v>
      </c>
      <c r="B7" s="5" t="s">
        <v>77</v>
      </c>
      <c r="C7" s="5" t="s">
        <v>76</v>
      </c>
      <c r="D7" s="5" t="s">
        <v>292</v>
      </c>
      <c r="E7" s="5" t="s">
        <v>79</v>
      </c>
      <c r="F7" s="347">
        <v>29000000</v>
      </c>
      <c r="G7" s="347">
        <f>F7</f>
        <v>29000000</v>
      </c>
      <c r="H7" s="7">
        <v>43831</v>
      </c>
      <c r="I7" s="7">
        <v>43838</v>
      </c>
      <c r="J7" s="347">
        <v>29000000</v>
      </c>
      <c r="K7" s="7">
        <v>44925</v>
      </c>
      <c r="L7" s="347">
        <v>0</v>
      </c>
      <c r="M7" s="347">
        <f t="shared" si="0"/>
        <v>29000000</v>
      </c>
      <c r="N7" s="7"/>
      <c r="O7" s="5">
        <v>3</v>
      </c>
      <c r="P7" s="5">
        <v>164</v>
      </c>
      <c r="Q7" s="6">
        <v>43818</v>
      </c>
      <c r="R7" s="422"/>
      <c r="T7" s="62">
        <f t="shared" ref="T7:T14" si="1">M7</f>
        <v>29000000</v>
      </c>
    </row>
    <row r="8" spans="1:20" ht="12">
      <c r="A8" s="31"/>
      <c r="H8" s="3"/>
      <c r="I8" s="3"/>
      <c r="K8" s="199"/>
      <c r="M8" s="347"/>
      <c r="P8" s="13"/>
      <c r="Q8" s="13"/>
      <c r="T8" s="62"/>
    </row>
    <row r="9" spans="1:20" ht="12.75" customHeight="1">
      <c r="A9" s="31" t="s">
        <v>149</v>
      </c>
      <c r="H9" s="3"/>
      <c r="I9" s="3"/>
      <c r="K9" s="199"/>
      <c r="M9" s="347"/>
      <c r="P9" s="13"/>
      <c r="Q9" s="13"/>
      <c r="T9" s="62"/>
    </row>
    <row r="10" spans="1:20" s="186" customFormat="1" ht="12">
      <c r="A10" s="5" t="s">
        <v>288</v>
      </c>
      <c r="B10" s="5" t="s">
        <v>77</v>
      </c>
      <c r="C10" s="5" t="s">
        <v>98</v>
      </c>
      <c r="D10" s="5" t="s">
        <v>166</v>
      </c>
      <c r="E10" s="5" t="s">
        <v>163</v>
      </c>
      <c r="F10" s="347">
        <v>50000000</v>
      </c>
      <c r="G10" s="347">
        <f t="shared" ref="G10:G12" si="2">F10</f>
        <v>50000000</v>
      </c>
      <c r="H10" s="7">
        <v>43831</v>
      </c>
      <c r="I10" s="7">
        <v>43838</v>
      </c>
      <c r="J10" s="347">
        <v>50000000</v>
      </c>
      <c r="K10" s="7">
        <v>44925</v>
      </c>
      <c r="L10" s="347">
        <v>0</v>
      </c>
      <c r="M10" s="347">
        <f t="shared" si="0"/>
        <v>50000000</v>
      </c>
      <c r="N10" s="7"/>
      <c r="O10" s="5">
        <v>3</v>
      </c>
      <c r="P10" s="5">
        <v>390</v>
      </c>
      <c r="Q10" s="6">
        <v>43466</v>
      </c>
      <c r="R10" s="422"/>
      <c r="T10" s="62">
        <f t="shared" si="1"/>
        <v>50000000</v>
      </c>
    </row>
    <row r="11" spans="1:20" s="186" customFormat="1" ht="12">
      <c r="A11" s="5" t="s">
        <v>289</v>
      </c>
      <c r="B11" s="5" t="s">
        <v>77</v>
      </c>
      <c r="C11" s="5" t="s">
        <v>276</v>
      </c>
      <c r="D11" s="5" t="s">
        <v>293</v>
      </c>
      <c r="E11" s="5" t="s">
        <v>79</v>
      </c>
      <c r="F11" s="347">
        <v>61260326</v>
      </c>
      <c r="G11" s="347">
        <f t="shared" si="2"/>
        <v>61260326</v>
      </c>
      <c r="H11" s="7">
        <v>43831</v>
      </c>
      <c r="I11" s="7">
        <v>43838</v>
      </c>
      <c r="J11" s="347">
        <f>G11</f>
        <v>61260326</v>
      </c>
      <c r="K11" s="7">
        <v>44925</v>
      </c>
      <c r="L11" s="347">
        <v>0</v>
      </c>
      <c r="M11" s="347">
        <f t="shared" si="0"/>
        <v>61260326</v>
      </c>
      <c r="N11" s="7"/>
      <c r="O11" s="5">
        <v>2</v>
      </c>
      <c r="P11" s="5">
        <v>368</v>
      </c>
      <c r="Q11" s="6">
        <v>43466</v>
      </c>
      <c r="R11" s="422"/>
      <c r="T11" s="62">
        <f t="shared" si="1"/>
        <v>61260326</v>
      </c>
    </row>
    <row r="12" spans="1:20" s="186" customFormat="1" ht="12">
      <c r="A12" s="5" t="s">
        <v>290</v>
      </c>
      <c r="B12" s="5" t="s">
        <v>77</v>
      </c>
      <c r="C12" s="5" t="s">
        <v>97</v>
      </c>
      <c r="D12" s="5" t="s">
        <v>294</v>
      </c>
      <c r="E12" s="5" t="s">
        <v>95</v>
      </c>
      <c r="F12" s="347">
        <v>30000000</v>
      </c>
      <c r="G12" s="347">
        <f t="shared" si="2"/>
        <v>30000000</v>
      </c>
      <c r="H12" s="7">
        <v>43831</v>
      </c>
      <c r="I12" s="7">
        <v>43838</v>
      </c>
      <c r="J12" s="347">
        <v>30000000</v>
      </c>
      <c r="K12" s="7">
        <v>44925</v>
      </c>
      <c r="L12" s="347">
        <v>0</v>
      </c>
      <c r="M12" s="347">
        <f t="shared" si="0"/>
        <v>30000000</v>
      </c>
      <c r="N12" s="7"/>
      <c r="O12" s="5">
        <v>2</v>
      </c>
      <c r="P12" s="5">
        <v>184</v>
      </c>
      <c r="Q12" s="6">
        <v>43466</v>
      </c>
      <c r="R12" s="422"/>
      <c r="T12" s="62">
        <f t="shared" si="1"/>
        <v>30000000</v>
      </c>
    </row>
    <row r="13" spans="1:20" ht="12">
      <c r="A13" s="13" t="s">
        <v>321</v>
      </c>
      <c r="B13" s="13" t="s">
        <v>391</v>
      </c>
      <c r="C13" s="13" t="s">
        <v>236</v>
      </c>
      <c r="D13" s="13" t="s">
        <v>281</v>
      </c>
      <c r="E13" s="13" t="s">
        <v>322</v>
      </c>
      <c r="F13" s="288">
        <v>38000000</v>
      </c>
      <c r="G13" s="288">
        <f>F13</f>
        <v>38000000</v>
      </c>
      <c r="H13" s="3">
        <v>43834</v>
      </c>
      <c r="I13" s="3">
        <v>43841</v>
      </c>
      <c r="J13" s="288">
        <v>540000</v>
      </c>
      <c r="K13" s="3">
        <v>44925</v>
      </c>
      <c r="L13" s="288">
        <v>0</v>
      </c>
      <c r="M13" s="288">
        <f t="shared" si="0"/>
        <v>540000</v>
      </c>
      <c r="N13" s="3">
        <v>44315</v>
      </c>
      <c r="O13" s="13">
        <v>3</v>
      </c>
      <c r="P13" s="13">
        <v>240</v>
      </c>
      <c r="Q13" s="11">
        <v>43813</v>
      </c>
      <c r="R13" s="455"/>
      <c r="T13" s="419">
        <f t="shared" si="1"/>
        <v>540000</v>
      </c>
    </row>
    <row r="14" spans="1:20" s="186" customFormat="1" ht="12">
      <c r="A14" s="5" t="s">
        <v>376</v>
      </c>
      <c r="B14" s="5" t="s">
        <v>77</v>
      </c>
      <c r="C14" s="5" t="s">
        <v>144</v>
      </c>
      <c r="D14" s="5" t="s">
        <v>377</v>
      </c>
      <c r="E14" s="5" t="s">
        <v>82</v>
      </c>
      <c r="F14" s="347">
        <v>12000000</v>
      </c>
      <c r="G14" s="423">
        <v>11115876.799999714</v>
      </c>
      <c r="H14" s="7">
        <v>43839</v>
      </c>
      <c r="I14" s="7">
        <v>43847</v>
      </c>
      <c r="J14" s="423">
        <f>G14</f>
        <v>11115876.799999714</v>
      </c>
      <c r="K14" s="7">
        <v>44925</v>
      </c>
      <c r="L14" s="347">
        <v>0</v>
      </c>
      <c r="M14" s="423">
        <f>J14-L14</f>
        <v>11115876.799999714</v>
      </c>
      <c r="N14" s="7"/>
      <c r="O14" s="5">
        <v>3</v>
      </c>
      <c r="P14" s="5">
        <v>64</v>
      </c>
      <c r="Q14" s="6">
        <v>43818</v>
      </c>
      <c r="R14" s="422"/>
      <c r="T14" s="431">
        <f t="shared" si="1"/>
        <v>11115876.799999714</v>
      </c>
    </row>
    <row r="16" spans="1:20" ht="12">
      <c r="F16" s="193">
        <f>SUM(F6:F14)</f>
        <v>270260326</v>
      </c>
      <c r="G16" s="327">
        <f>SUM(G6:G14)</f>
        <v>269376202.79999971</v>
      </c>
      <c r="H16" s="133"/>
      <c r="I16" s="133"/>
      <c r="J16" s="327">
        <f>SUM(J6:J14)</f>
        <v>231916202.79999971</v>
      </c>
      <c r="K16" s="133"/>
      <c r="L16" s="193">
        <f>SUM(L6:L14)</f>
        <v>50000000</v>
      </c>
      <c r="M16" s="327">
        <f>SUM(M6:M14)</f>
        <v>181916202.79999971</v>
      </c>
      <c r="T16" s="327">
        <f>SUM(T6:T14)</f>
        <v>181916202.79999971</v>
      </c>
    </row>
    <row r="17" spans="1:20" ht="12" thickBot="1">
      <c r="L17" s="458"/>
    </row>
    <row r="18" spans="1:20" ht="13.2">
      <c r="A18" s="513"/>
      <c r="B18" s="159" t="s">
        <v>262</v>
      </c>
      <c r="C18" s="131"/>
      <c r="D18" s="131"/>
      <c r="E18" s="131"/>
      <c r="F18" s="181"/>
      <c r="G18" s="181"/>
      <c r="H18" s="181"/>
      <c r="I18" s="181"/>
      <c r="J18" s="181"/>
      <c r="K18" s="181"/>
      <c r="L18" s="181"/>
      <c r="M18" s="181"/>
      <c r="N18" s="280"/>
    </row>
    <row r="19" spans="1:20" ht="13.2">
      <c r="A19" s="153" t="s">
        <v>32</v>
      </c>
      <c r="B19" s="272" t="s">
        <v>37</v>
      </c>
      <c r="C19" s="273" t="s">
        <v>31</v>
      </c>
      <c r="D19" s="281" t="s">
        <v>49</v>
      </c>
      <c r="E19" s="281" t="s">
        <v>45</v>
      </c>
      <c r="F19" s="176" t="s">
        <v>84</v>
      </c>
      <c r="G19" s="176" t="s">
        <v>54</v>
      </c>
      <c r="H19" s="275"/>
      <c r="I19" s="275" t="s">
        <v>34</v>
      </c>
      <c r="J19" s="177" t="s">
        <v>87</v>
      </c>
      <c r="K19" s="275"/>
      <c r="L19" s="176" t="s">
        <v>92</v>
      </c>
      <c r="M19" s="276" t="s">
        <v>89</v>
      </c>
      <c r="N19" s="277" t="s">
        <v>22</v>
      </c>
    </row>
    <row r="20" spans="1:20" ht="13.2">
      <c r="A20" s="153" t="s">
        <v>48</v>
      </c>
      <c r="B20" s="278"/>
      <c r="C20" s="273"/>
      <c r="D20" s="281"/>
      <c r="E20" s="281"/>
      <c r="F20" s="176" t="s">
        <v>55</v>
      </c>
      <c r="G20" s="176" t="s">
        <v>55</v>
      </c>
      <c r="H20" s="275" t="s">
        <v>9</v>
      </c>
      <c r="I20" s="275" t="s">
        <v>18</v>
      </c>
      <c r="J20" s="177" t="s">
        <v>55</v>
      </c>
      <c r="K20" s="275" t="s">
        <v>18</v>
      </c>
      <c r="L20" s="176" t="s">
        <v>55</v>
      </c>
      <c r="M20" s="276" t="s">
        <v>90</v>
      </c>
      <c r="N20" s="277" t="s">
        <v>5</v>
      </c>
    </row>
    <row r="21" spans="1:20" ht="13.8" thickBot="1">
      <c r="A21" s="154" t="s">
        <v>17</v>
      </c>
      <c r="B21" s="155"/>
      <c r="C21" s="156"/>
      <c r="D21" s="158"/>
      <c r="E21" s="158"/>
      <c r="F21" s="178"/>
      <c r="G21" s="178"/>
      <c r="H21" s="179"/>
      <c r="I21" s="179"/>
      <c r="J21" s="182"/>
      <c r="K21" s="179"/>
      <c r="L21" s="178"/>
      <c r="M21" s="183" t="s">
        <v>93</v>
      </c>
      <c r="N21" s="279" t="s">
        <v>9</v>
      </c>
    </row>
    <row r="22" spans="1:20">
      <c r="A22" s="515" t="s">
        <v>56</v>
      </c>
    </row>
    <row r="23" spans="1:20">
      <c r="A23" s="5"/>
      <c r="H23" s="199"/>
      <c r="L23" s="197"/>
    </row>
    <row r="24" spans="1:20" ht="12">
      <c r="A24" s="13">
        <v>5058</v>
      </c>
      <c r="B24" s="43" t="s">
        <v>77</v>
      </c>
      <c r="C24" s="36" t="s">
        <v>76</v>
      </c>
      <c r="D24" s="36" t="s">
        <v>248</v>
      </c>
      <c r="E24" s="148" t="s">
        <v>152</v>
      </c>
      <c r="F24" s="9">
        <v>387458955</v>
      </c>
      <c r="G24" s="9">
        <v>387458955</v>
      </c>
      <c r="H24" s="3">
        <v>43678</v>
      </c>
      <c r="I24" s="152">
        <v>43713</v>
      </c>
      <c r="J24" s="9">
        <v>387458955</v>
      </c>
      <c r="K24" s="152">
        <v>44925</v>
      </c>
      <c r="L24" s="45">
        <f>143868101.05+170840815+72750038.95</f>
        <v>387458955</v>
      </c>
      <c r="M24" s="83">
        <f t="shared" ref="M24:M25" si="3">J24-L24</f>
        <v>0</v>
      </c>
      <c r="N24" s="152">
        <v>44463</v>
      </c>
      <c r="O24" s="43" t="s">
        <v>831</v>
      </c>
      <c r="P24" s="209"/>
      <c r="T24" s="432">
        <f>M24</f>
        <v>0</v>
      </c>
    </row>
    <row r="25" spans="1:20" ht="12">
      <c r="A25" s="13">
        <v>5063</v>
      </c>
      <c r="B25" s="43" t="s">
        <v>77</v>
      </c>
      <c r="C25" s="36" t="s">
        <v>318</v>
      </c>
      <c r="D25" s="36" t="s">
        <v>300</v>
      </c>
      <c r="E25" s="148" t="s">
        <v>301</v>
      </c>
      <c r="F25" s="9">
        <v>54000000</v>
      </c>
      <c r="G25" s="9">
        <v>54000000</v>
      </c>
      <c r="H25" s="3">
        <v>43680</v>
      </c>
      <c r="I25" s="152">
        <v>43715</v>
      </c>
      <c r="J25" s="9">
        <v>20597955.649999999</v>
      </c>
      <c r="K25" s="152">
        <v>44925</v>
      </c>
      <c r="L25" s="27">
        <v>20597955.649999999</v>
      </c>
      <c r="M25" s="9">
        <f t="shared" si="3"/>
        <v>0</v>
      </c>
      <c r="N25" s="152">
        <v>44463</v>
      </c>
      <c r="O25" s="43" t="s">
        <v>764</v>
      </c>
      <c r="T25" s="432">
        <f t="shared" ref="T25:T30" si="4">M25</f>
        <v>0</v>
      </c>
    </row>
    <row r="26" spans="1:20" ht="12">
      <c r="A26" s="13">
        <v>5064</v>
      </c>
      <c r="B26" s="43" t="s">
        <v>77</v>
      </c>
      <c r="C26" s="36" t="s">
        <v>150</v>
      </c>
      <c r="D26" s="36" t="s">
        <v>392</v>
      </c>
      <c r="E26" s="148" t="s">
        <v>152</v>
      </c>
      <c r="F26" s="9">
        <v>116214444</v>
      </c>
      <c r="G26" s="9">
        <v>116214444</v>
      </c>
      <c r="H26" s="3">
        <v>43680</v>
      </c>
      <c r="I26" s="152">
        <v>43715</v>
      </c>
      <c r="J26" s="83">
        <v>628.4</v>
      </c>
      <c r="K26" s="152">
        <v>44925</v>
      </c>
      <c r="L26" s="45">
        <v>628.4</v>
      </c>
      <c r="M26" s="9">
        <f>J26-L26</f>
        <v>0</v>
      </c>
      <c r="N26" s="152">
        <v>44530</v>
      </c>
      <c r="O26" s="1" t="s">
        <v>852</v>
      </c>
      <c r="Q26" s="362"/>
      <c r="T26" s="433">
        <f t="shared" si="4"/>
        <v>0</v>
      </c>
    </row>
    <row r="27" spans="1:20" ht="12">
      <c r="A27" s="13">
        <v>5065</v>
      </c>
      <c r="B27" s="43" t="s">
        <v>77</v>
      </c>
      <c r="C27" s="36" t="s">
        <v>316</v>
      </c>
      <c r="D27" s="36" t="s">
        <v>302</v>
      </c>
      <c r="E27" s="148" t="s">
        <v>303</v>
      </c>
      <c r="F27" s="9">
        <v>61000000</v>
      </c>
      <c r="G27" s="9">
        <v>61000000</v>
      </c>
      <c r="H27" s="3">
        <v>43680</v>
      </c>
      <c r="I27" s="152">
        <v>43715</v>
      </c>
      <c r="J27" s="9">
        <v>61000000</v>
      </c>
      <c r="K27" s="152">
        <v>44925</v>
      </c>
      <c r="L27" s="27">
        <v>61000000</v>
      </c>
      <c r="M27" s="9">
        <f>J27-L27</f>
        <v>0</v>
      </c>
      <c r="N27" s="152">
        <v>44463</v>
      </c>
      <c r="O27" s="43" t="s">
        <v>832</v>
      </c>
      <c r="T27" s="432">
        <f t="shared" si="4"/>
        <v>0</v>
      </c>
    </row>
    <row r="28" spans="1:20" ht="12">
      <c r="A28" s="13">
        <v>5066</v>
      </c>
      <c r="B28" s="43" t="s">
        <v>77</v>
      </c>
      <c r="C28" s="36" t="s">
        <v>315</v>
      </c>
      <c r="D28" s="36" t="s">
        <v>249</v>
      </c>
      <c r="E28" s="148" t="s">
        <v>304</v>
      </c>
      <c r="F28" s="9">
        <v>10000000</v>
      </c>
      <c r="G28" s="9">
        <v>10000000</v>
      </c>
      <c r="H28" s="3">
        <v>43680</v>
      </c>
      <c r="I28" s="152">
        <v>43715</v>
      </c>
      <c r="J28" s="9">
        <v>10000000</v>
      </c>
      <c r="K28" s="152">
        <v>44925</v>
      </c>
      <c r="L28" s="27">
        <v>10000000</v>
      </c>
      <c r="M28" s="9">
        <f t="shared" ref="M28:M29" si="5">J28-L28</f>
        <v>0</v>
      </c>
      <c r="N28" s="152">
        <v>44463</v>
      </c>
      <c r="O28" s="43" t="s">
        <v>765</v>
      </c>
      <c r="T28" s="432">
        <f t="shared" si="4"/>
        <v>0</v>
      </c>
    </row>
    <row r="29" spans="1:20" ht="12">
      <c r="A29" s="13">
        <v>5067</v>
      </c>
      <c r="B29" s="43" t="s">
        <v>77</v>
      </c>
      <c r="C29" s="36" t="s">
        <v>308</v>
      </c>
      <c r="D29" s="36" t="s">
        <v>305</v>
      </c>
      <c r="E29" s="148" t="s">
        <v>306</v>
      </c>
      <c r="F29" s="9">
        <v>20000000</v>
      </c>
      <c r="G29" s="9">
        <v>20000000</v>
      </c>
      <c r="H29" s="3">
        <v>43680</v>
      </c>
      <c r="I29" s="152">
        <v>43715</v>
      </c>
      <c r="J29" s="9">
        <v>20000000</v>
      </c>
      <c r="K29" s="152">
        <v>44925</v>
      </c>
      <c r="L29" s="27">
        <v>20000000</v>
      </c>
      <c r="M29" s="9">
        <f t="shared" si="5"/>
        <v>0</v>
      </c>
      <c r="N29" s="152">
        <v>44463</v>
      </c>
      <c r="O29" s="43" t="s">
        <v>766</v>
      </c>
      <c r="T29" s="432">
        <f t="shared" si="4"/>
        <v>0</v>
      </c>
    </row>
    <row r="30" spans="1:20" ht="12">
      <c r="A30" s="13">
        <v>5098</v>
      </c>
      <c r="B30" s="43" t="s">
        <v>77</v>
      </c>
      <c r="C30" s="36" t="s">
        <v>76</v>
      </c>
      <c r="D30" s="36" t="s">
        <v>248</v>
      </c>
      <c r="E30" s="148" t="s">
        <v>152</v>
      </c>
      <c r="F30" s="83">
        <v>128717758.63</v>
      </c>
      <c r="G30" s="83">
        <v>128717758.63</v>
      </c>
      <c r="H30" s="3">
        <v>43783</v>
      </c>
      <c r="I30" s="152">
        <v>43818</v>
      </c>
      <c r="J30" s="83">
        <v>128717758.63</v>
      </c>
      <c r="K30" s="152">
        <v>44925</v>
      </c>
      <c r="L30" s="560">
        <f>41418909.3+87298849.33</f>
        <v>128717758.63</v>
      </c>
      <c r="M30" s="561">
        <f>J30-L30</f>
        <v>0</v>
      </c>
      <c r="N30" s="480">
        <v>44512</v>
      </c>
      <c r="O30" s="43" t="s">
        <v>833</v>
      </c>
      <c r="P30" s="209" t="s">
        <v>845</v>
      </c>
      <c r="T30" s="432">
        <f t="shared" si="4"/>
        <v>0</v>
      </c>
    </row>
    <row r="31" spans="1:20" ht="12">
      <c r="A31" s="13"/>
      <c r="B31" s="13"/>
      <c r="C31" s="13"/>
      <c r="D31" s="13"/>
      <c r="E31" s="13"/>
      <c r="F31" s="288"/>
      <c r="G31" s="185"/>
      <c r="H31" s="185"/>
      <c r="I31" s="185"/>
      <c r="J31" s="185"/>
      <c r="K31" s="185"/>
      <c r="L31" s="197"/>
      <c r="M31" s="203"/>
      <c r="N31" s="152"/>
    </row>
    <row r="32" spans="1:20" ht="12">
      <c r="C32" s="514"/>
      <c r="D32" s="514"/>
      <c r="F32" s="185"/>
      <c r="G32" s="185"/>
      <c r="H32" s="185"/>
      <c r="I32" s="185"/>
      <c r="J32" s="327">
        <f>SUM(J24:J30)</f>
        <v>627775297.67999995</v>
      </c>
      <c r="K32" s="411"/>
      <c r="L32" s="327">
        <f>SUM(L24:L30)</f>
        <v>627775297.67999995</v>
      </c>
      <c r="M32" s="327">
        <f>SUM(M24:M30)</f>
        <v>0</v>
      </c>
      <c r="N32" s="152"/>
      <c r="O32" s="197"/>
      <c r="T32" s="327">
        <f>SUM(T24:T30)</f>
        <v>0</v>
      </c>
    </row>
    <row r="33" spans="1:20" ht="12.6" thickBot="1">
      <c r="C33" s="514"/>
      <c r="D33" s="514"/>
      <c r="F33" s="185"/>
      <c r="G33" s="437"/>
      <c r="H33" s="185"/>
      <c r="I33" s="185"/>
      <c r="J33" s="185"/>
      <c r="K33" s="185"/>
      <c r="L33" s="192"/>
      <c r="M33" s="197"/>
      <c r="N33" s="152"/>
    </row>
    <row r="34" spans="1:20" ht="12">
      <c r="A34" s="516" t="s">
        <v>94</v>
      </c>
      <c r="C34" s="514"/>
      <c r="D34" s="514"/>
      <c r="F34" s="185"/>
      <c r="G34" s="188"/>
      <c r="H34" s="152"/>
      <c r="I34" s="185"/>
      <c r="J34" s="185"/>
      <c r="K34" s="289"/>
      <c r="L34" s="362"/>
      <c r="N34" s="152"/>
    </row>
    <row r="35" spans="1:20" s="424" customFormat="1" ht="12">
      <c r="A35" s="487">
        <v>5071</v>
      </c>
      <c r="B35" s="425" t="s">
        <v>77</v>
      </c>
      <c r="C35" s="488" t="s">
        <v>268</v>
      </c>
      <c r="D35" s="488" t="s">
        <v>94</v>
      </c>
      <c r="E35" s="426" t="s">
        <v>217</v>
      </c>
      <c r="F35" s="427">
        <v>48000000</v>
      </c>
      <c r="G35" s="427">
        <v>48000000</v>
      </c>
      <c r="H35" s="428">
        <v>43698</v>
      </c>
      <c r="I35" s="429">
        <v>43733</v>
      </c>
      <c r="J35" s="427">
        <v>18910000</v>
      </c>
      <c r="K35" s="429">
        <v>44925</v>
      </c>
      <c r="L35" s="493">
        <v>18910000</v>
      </c>
      <c r="M35" s="427">
        <f t="shared" ref="M35:M38" si="6">J35-L35</f>
        <v>0</v>
      </c>
      <c r="N35" s="429">
        <v>44247</v>
      </c>
      <c r="O35" s="425" t="s">
        <v>425</v>
      </c>
      <c r="P35" s="43"/>
      <c r="T35" s="430">
        <f>M35</f>
        <v>0</v>
      </c>
    </row>
    <row r="36" spans="1:20" ht="12">
      <c r="A36" s="13">
        <v>5079</v>
      </c>
      <c r="B36" s="43" t="s">
        <v>77</v>
      </c>
      <c r="C36" s="36" t="s">
        <v>234</v>
      </c>
      <c r="D36" s="36" t="s">
        <v>94</v>
      </c>
      <c r="E36" s="148" t="s">
        <v>235</v>
      </c>
      <c r="F36" s="9">
        <v>52000000</v>
      </c>
      <c r="G36" s="9">
        <v>52000000</v>
      </c>
      <c r="H36" s="3">
        <v>43699</v>
      </c>
      <c r="I36" s="152">
        <v>43734</v>
      </c>
      <c r="J36" s="9">
        <v>52000000</v>
      </c>
      <c r="K36" s="152">
        <v>44925</v>
      </c>
      <c r="L36" s="288">
        <v>0</v>
      </c>
      <c r="M36" s="9">
        <f t="shared" si="6"/>
        <v>52000000</v>
      </c>
      <c r="N36" s="152">
        <v>44476</v>
      </c>
      <c r="O36" s="209"/>
      <c r="T36" s="419">
        <f>M36</f>
        <v>52000000</v>
      </c>
    </row>
    <row r="37" spans="1:20" ht="12">
      <c r="A37" s="13">
        <v>5080</v>
      </c>
      <c r="B37" s="43" t="s">
        <v>77</v>
      </c>
      <c r="C37" s="36" t="s">
        <v>297</v>
      </c>
      <c r="D37" s="36" t="s">
        <v>94</v>
      </c>
      <c r="E37" s="148" t="s">
        <v>222</v>
      </c>
      <c r="F37" s="9">
        <v>35000000</v>
      </c>
      <c r="G37" s="9">
        <v>35000000</v>
      </c>
      <c r="H37" s="3">
        <v>43699</v>
      </c>
      <c r="I37" s="152">
        <v>43734</v>
      </c>
      <c r="J37" s="9">
        <v>35000000</v>
      </c>
      <c r="K37" s="152">
        <v>44925</v>
      </c>
      <c r="L37" s="288">
        <v>0</v>
      </c>
      <c r="M37" s="9">
        <f t="shared" si="6"/>
        <v>35000000</v>
      </c>
      <c r="N37" s="152">
        <v>43845</v>
      </c>
      <c r="O37" s="199"/>
      <c r="T37" s="419">
        <f>M37</f>
        <v>35000000</v>
      </c>
    </row>
    <row r="38" spans="1:20" ht="12">
      <c r="A38" s="13">
        <v>5081</v>
      </c>
      <c r="B38" s="43" t="s">
        <v>77</v>
      </c>
      <c r="C38" s="36" t="s">
        <v>158</v>
      </c>
      <c r="D38" s="36" t="s">
        <v>94</v>
      </c>
      <c r="E38" s="148" t="s">
        <v>275</v>
      </c>
      <c r="F38" s="9">
        <v>15000000</v>
      </c>
      <c r="G38" s="9">
        <v>15000000</v>
      </c>
      <c r="H38" s="3">
        <v>43699</v>
      </c>
      <c r="I38" s="152">
        <v>43734</v>
      </c>
      <c r="J38" s="9">
        <v>15000000</v>
      </c>
      <c r="K38" s="152">
        <v>44925</v>
      </c>
      <c r="L38" s="352">
        <v>15000000</v>
      </c>
      <c r="M38" s="479">
        <f t="shared" si="6"/>
        <v>0</v>
      </c>
      <c r="N38" s="480">
        <v>44421</v>
      </c>
      <c r="O38" s="470" t="s">
        <v>802</v>
      </c>
      <c r="T38" s="419">
        <f>M38</f>
        <v>0</v>
      </c>
    </row>
    <row r="39" spans="1:20" ht="12">
      <c r="A39" s="13">
        <v>5091</v>
      </c>
      <c r="B39" s="43" t="s">
        <v>77</v>
      </c>
      <c r="C39" s="36" t="s">
        <v>236</v>
      </c>
      <c r="D39" s="36" t="s">
        <v>94</v>
      </c>
      <c r="E39" s="148" t="s">
        <v>80</v>
      </c>
      <c r="F39" s="9">
        <v>50000000</v>
      </c>
      <c r="G39" s="9">
        <v>50000000</v>
      </c>
      <c r="H39" s="3">
        <v>43754</v>
      </c>
      <c r="I39" s="152">
        <v>43789</v>
      </c>
      <c r="J39" s="9">
        <v>8500000</v>
      </c>
      <c r="K39" s="152">
        <v>44925</v>
      </c>
      <c r="L39" s="288">
        <v>0</v>
      </c>
      <c r="M39" s="9">
        <f t="shared" ref="M39:M41" si="7">J39-L39</f>
        <v>8500000</v>
      </c>
      <c r="N39" s="152">
        <v>44315</v>
      </c>
      <c r="O39" s="209"/>
      <c r="T39" s="419">
        <f t="shared" ref="T39:T41" si="8">M39</f>
        <v>8500000</v>
      </c>
    </row>
    <row r="40" spans="1:20" ht="12">
      <c r="A40" s="13">
        <v>5093</v>
      </c>
      <c r="B40" s="43" t="s">
        <v>77</v>
      </c>
      <c r="C40" s="36" t="s">
        <v>273</v>
      </c>
      <c r="D40" s="36" t="s">
        <v>94</v>
      </c>
      <c r="E40" s="148" t="s">
        <v>274</v>
      </c>
      <c r="F40" s="9">
        <v>45000000</v>
      </c>
      <c r="G40" s="9">
        <v>45000000</v>
      </c>
      <c r="H40" s="3">
        <v>43755</v>
      </c>
      <c r="I40" s="152">
        <v>43790</v>
      </c>
      <c r="J40" s="9">
        <v>45000000</v>
      </c>
      <c r="K40" s="152">
        <v>44925</v>
      </c>
      <c r="L40" s="288">
        <v>0</v>
      </c>
      <c r="M40" s="9">
        <f t="shared" si="7"/>
        <v>45000000</v>
      </c>
      <c r="N40" s="152">
        <v>43981</v>
      </c>
      <c r="O40" s="209"/>
      <c r="T40" s="419">
        <f t="shared" si="8"/>
        <v>45000000</v>
      </c>
    </row>
    <row r="41" spans="1:20" ht="12">
      <c r="A41" s="13">
        <v>5095</v>
      </c>
      <c r="B41" s="43" t="s">
        <v>77</v>
      </c>
      <c r="C41" s="36" t="s">
        <v>168</v>
      </c>
      <c r="D41" s="36" t="s">
        <v>94</v>
      </c>
      <c r="E41" s="148" t="s">
        <v>169</v>
      </c>
      <c r="F41" s="9">
        <v>15000000</v>
      </c>
      <c r="G41" s="9">
        <v>15000000</v>
      </c>
      <c r="H41" s="3">
        <v>43755</v>
      </c>
      <c r="I41" s="152">
        <v>43790</v>
      </c>
      <c r="J41" s="9">
        <v>6000000</v>
      </c>
      <c r="K41" s="152">
        <v>44925</v>
      </c>
      <c r="L41" s="288">
        <v>2000000</v>
      </c>
      <c r="M41" s="9">
        <f t="shared" si="7"/>
        <v>4000000</v>
      </c>
      <c r="N41" s="152">
        <v>44345</v>
      </c>
      <c r="O41" s="43" t="s">
        <v>711</v>
      </c>
      <c r="T41" s="419">
        <f t="shared" si="8"/>
        <v>4000000</v>
      </c>
    </row>
    <row r="42" spans="1:20" s="186" customFormat="1" ht="12">
      <c r="A42" s="13"/>
      <c r="B42" s="13"/>
      <c r="C42" s="13"/>
      <c r="D42" s="36"/>
      <c r="E42" s="36"/>
      <c r="F42" s="288"/>
      <c r="G42" s="124"/>
      <c r="H42" s="7"/>
      <c r="I42" s="184"/>
      <c r="J42" s="124"/>
      <c r="K42" s="184"/>
      <c r="L42" s="32"/>
      <c r="M42" s="124"/>
      <c r="N42" s="184"/>
      <c r="T42" s="62"/>
    </row>
    <row r="43" spans="1:20" ht="12">
      <c r="A43" s="5"/>
      <c r="B43" s="5"/>
      <c r="C43" s="5"/>
      <c r="D43" s="26"/>
      <c r="E43" s="26"/>
      <c r="F43" s="347"/>
      <c r="G43" s="71"/>
      <c r="H43" s="3"/>
      <c r="I43" s="3"/>
      <c r="J43" s="77">
        <f>SUM(J35:J41)</f>
        <v>180410000</v>
      </c>
      <c r="K43" s="7"/>
      <c r="L43" s="77">
        <f>SUM(L35:L41)</f>
        <v>35910000</v>
      </c>
      <c r="M43" s="77">
        <f>SUM(M35:M41)</f>
        <v>144500000</v>
      </c>
      <c r="N43" s="152"/>
      <c r="T43" s="77">
        <f>SUM(T35:T41)</f>
        <v>144500000</v>
      </c>
    </row>
    <row r="44" spans="1:20" ht="12">
      <c r="I44" s="197"/>
      <c r="N44" s="152"/>
    </row>
    <row r="45" spans="1:20">
      <c r="K45" s="199"/>
    </row>
    <row r="46" spans="1:20" ht="12.6" thickBot="1">
      <c r="J46" s="345">
        <f>J16+J32+J43</f>
        <v>1040101500.4799997</v>
      </c>
      <c r="M46" s="345">
        <f>M16+M32+M43</f>
        <v>326416202.79999971</v>
      </c>
      <c r="O46" s="264"/>
      <c r="P46" s="264"/>
      <c r="Q46" s="264"/>
      <c r="R46" s="264"/>
      <c r="T46" s="343">
        <f>T16+T32+T43</f>
        <v>326416202.79999971</v>
      </c>
    </row>
    <row r="47" spans="1:20" ht="12" thickTop="1">
      <c r="M47" s="197"/>
      <c r="O47" s="192"/>
    </row>
    <row r="48" spans="1:20">
      <c r="J48" s="197"/>
      <c r="O48" s="197"/>
    </row>
    <row r="49" spans="8:13">
      <c r="H49" s="199"/>
      <c r="J49" s="197"/>
      <c r="L49" s="192"/>
    </row>
    <row r="50" spans="8:13">
      <c r="H50" s="199"/>
      <c r="M50" s="197"/>
    </row>
    <row r="51" spans="8:13">
      <c r="L51" s="192"/>
    </row>
    <row r="52" spans="8:13">
      <c r="L52" s="451"/>
    </row>
    <row r="53" spans="8:13">
      <c r="L53" s="396"/>
    </row>
    <row r="54" spans="8:13">
      <c r="L54" s="362"/>
    </row>
    <row r="55" spans="8:13">
      <c r="L55" s="197"/>
    </row>
  </sheetData>
  <phoneticPr fontId="3" type="noConversion"/>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BBA7-3920-43A8-A750-9D8F66C498AB}">
  <sheetPr codeName="Sheet8"/>
  <dimension ref="A1:T115"/>
  <sheetViews>
    <sheetView topLeftCell="A64" workbookViewId="0">
      <selection activeCell="M107" sqref="M107"/>
    </sheetView>
  </sheetViews>
  <sheetFormatPr defaultRowHeight="11.4"/>
  <cols>
    <col min="1" max="1" width="11" customWidth="1"/>
    <col min="2" max="2" width="10.375" customWidth="1"/>
    <col min="3" max="3" width="43.125" bestFit="1" customWidth="1"/>
    <col min="4" max="4" width="37.125" bestFit="1" customWidth="1"/>
    <col min="5" max="5" width="13.25" customWidth="1"/>
    <col min="6" max="7" width="15.75" bestFit="1" customWidth="1"/>
    <col min="8" max="8" width="15.125" customWidth="1"/>
    <col min="9" max="9" width="11.875" bestFit="1" customWidth="1"/>
    <col min="10" max="10" width="14.75" bestFit="1" customWidth="1"/>
    <col min="11" max="11" width="11.875" bestFit="1" customWidth="1"/>
    <col min="12" max="12" width="17.625" bestFit="1" customWidth="1"/>
    <col min="13" max="13" width="21.625" bestFit="1" customWidth="1"/>
    <col min="14" max="14" width="11" bestFit="1" customWidth="1"/>
    <col min="15" max="16" width="9.125" customWidth="1"/>
    <col min="17" max="17" width="14.125" bestFit="1" customWidth="1"/>
    <col min="18" max="18" width="9.125" customWidth="1"/>
    <col min="20" max="20" width="26.75" bestFit="1" customWidth="1"/>
  </cols>
  <sheetData>
    <row r="1" spans="1:20" ht="13.2">
      <c r="A1" s="159"/>
      <c r="B1" s="159" t="s">
        <v>323</v>
      </c>
      <c r="C1" s="160"/>
      <c r="D1" s="161"/>
      <c r="E1" s="163"/>
      <c r="F1" s="173"/>
      <c r="G1" s="173"/>
      <c r="H1" s="174"/>
      <c r="I1" s="174"/>
      <c r="J1" s="175"/>
      <c r="K1" s="174"/>
      <c r="L1" s="173"/>
      <c r="M1" s="174"/>
      <c r="N1" s="366"/>
      <c r="O1" s="366"/>
      <c r="P1" s="366"/>
      <c r="Q1" s="271"/>
      <c r="T1" s="339" t="s">
        <v>89</v>
      </c>
    </row>
    <row r="2" spans="1:20" ht="13.2">
      <c r="A2" s="153" t="s">
        <v>32</v>
      </c>
      <c r="B2" s="272" t="s">
        <v>37</v>
      </c>
      <c r="C2" s="273" t="s">
        <v>31</v>
      </c>
      <c r="D2" s="274" t="s">
        <v>49</v>
      </c>
      <c r="E2" s="274" t="s">
        <v>45</v>
      </c>
      <c r="F2" s="176" t="s">
        <v>84</v>
      </c>
      <c r="G2" s="176" t="s">
        <v>85</v>
      </c>
      <c r="H2" s="275" t="s">
        <v>96</v>
      </c>
      <c r="I2" s="275" t="s">
        <v>86</v>
      </c>
      <c r="J2" s="177" t="s">
        <v>87</v>
      </c>
      <c r="K2" s="275"/>
      <c r="L2" s="176" t="s">
        <v>88</v>
      </c>
      <c r="M2" s="276" t="s">
        <v>89</v>
      </c>
      <c r="N2" s="367" t="s">
        <v>22</v>
      </c>
      <c r="O2" s="369" t="s">
        <v>172</v>
      </c>
      <c r="P2" s="369" t="s">
        <v>252</v>
      </c>
      <c r="Q2" s="370" t="s">
        <v>254</v>
      </c>
      <c r="T2" s="340" t="s">
        <v>90</v>
      </c>
    </row>
    <row r="3" spans="1:20" ht="13.2">
      <c r="A3" s="153" t="s">
        <v>48</v>
      </c>
      <c r="B3" s="278"/>
      <c r="C3" s="273"/>
      <c r="D3" s="274"/>
      <c r="E3" s="274"/>
      <c r="F3" s="176" t="s">
        <v>55</v>
      </c>
      <c r="G3" s="176" t="s">
        <v>55</v>
      </c>
      <c r="H3" s="275" t="s">
        <v>9</v>
      </c>
      <c r="I3" s="275" t="s">
        <v>18</v>
      </c>
      <c r="J3" s="177" t="s">
        <v>55</v>
      </c>
      <c r="K3" s="275" t="s">
        <v>18</v>
      </c>
      <c r="L3" s="176" t="s">
        <v>55</v>
      </c>
      <c r="M3" s="276" t="s">
        <v>90</v>
      </c>
      <c r="N3" s="367" t="s">
        <v>5</v>
      </c>
      <c r="O3" s="369" t="s">
        <v>171</v>
      </c>
      <c r="P3" s="369" t="s">
        <v>253</v>
      </c>
      <c r="Q3" s="370" t="s">
        <v>255</v>
      </c>
      <c r="T3" s="340" t="s">
        <v>237</v>
      </c>
    </row>
    <row r="4" spans="1:20" ht="13.8" thickBot="1">
      <c r="A4" s="154" t="s">
        <v>17</v>
      </c>
      <c r="B4" s="155"/>
      <c r="C4" s="156"/>
      <c r="D4" s="157"/>
      <c r="E4" s="157"/>
      <c r="F4" s="178"/>
      <c r="G4" s="178"/>
      <c r="H4" s="179"/>
      <c r="I4" s="179"/>
      <c r="J4" s="180"/>
      <c r="K4" s="179"/>
      <c r="L4" s="178"/>
      <c r="M4" s="178"/>
      <c r="N4" s="368" t="s">
        <v>9</v>
      </c>
      <c r="O4" s="368"/>
      <c r="P4" s="368"/>
      <c r="Q4" s="371" t="s">
        <v>9</v>
      </c>
      <c r="T4" s="341" t="s">
        <v>327</v>
      </c>
    </row>
    <row r="5" spans="1:20">
      <c r="A5" s="31" t="s">
        <v>259</v>
      </c>
    </row>
    <row r="6" spans="1:20" ht="12">
      <c r="A6" s="137" t="s">
        <v>613</v>
      </c>
      <c r="B6" s="1" t="s">
        <v>391</v>
      </c>
      <c r="C6" s="1" t="s">
        <v>76</v>
      </c>
      <c r="D6" s="1" t="s">
        <v>471</v>
      </c>
      <c r="E6" s="1" t="s">
        <v>78</v>
      </c>
      <c r="F6" s="9">
        <v>30000000</v>
      </c>
      <c r="G6" s="9">
        <v>30000000</v>
      </c>
      <c r="H6" s="3">
        <v>44201</v>
      </c>
      <c r="I6" s="3">
        <v>44208</v>
      </c>
      <c r="J6" s="9">
        <v>30000000</v>
      </c>
      <c r="K6" s="3">
        <v>45290</v>
      </c>
      <c r="L6" s="9">
        <v>30000000</v>
      </c>
      <c r="M6" s="9">
        <f>J6-L6</f>
        <v>0</v>
      </c>
      <c r="N6" s="3">
        <v>44384</v>
      </c>
      <c r="O6" s="13"/>
      <c r="P6" s="13"/>
      <c r="Q6" s="11"/>
    </row>
    <row r="7" spans="1:20" s="186" customFormat="1" ht="12">
      <c r="A7" s="31" t="s">
        <v>614</v>
      </c>
      <c r="B7" s="4" t="s">
        <v>77</v>
      </c>
      <c r="C7" s="4" t="s">
        <v>76</v>
      </c>
      <c r="D7" s="4" t="s">
        <v>615</v>
      </c>
      <c r="E7" s="4" t="s">
        <v>78</v>
      </c>
      <c r="F7" s="124">
        <v>20000000</v>
      </c>
      <c r="G7" s="124">
        <v>20000000</v>
      </c>
      <c r="H7" s="7">
        <v>44201</v>
      </c>
      <c r="I7" s="7">
        <v>44208</v>
      </c>
      <c r="J7" s="124">
        <v>20000000</v>
      </c>
      <c r="K7" s="7">
        <v>45290</v>
      </c>
      <c r="L7" s="124">
        <v>0</v>
      </c>
      <c r="M7" s="124">
        <f>J7-L7</f>
        <v>20000000</v>
      </c>
      <c r="N7" s="7">
        <v>44202</v>
      </c>
      <c r="O7" s="5"/>
      <c r="P7" s="5"/>
      <c r="Q7" s="6"/>
    </row>
    <row r="8" spans="1:20">
      <c r="A8" s="31"/>
      <c r="H8" s="199"/>
      <c r="K8" s="199"/>
    </row>
    <row r="9" spans="1:20" ht="12.75" customHeight="1">
      <c r="A9" s="31" t="s">
        <v>149</v>
      </c>
      <c r="H9" s="199"/>
      <c r="K9" s="199"/>
    </row>
    <row r="10" spans="1:20" ht="12">
      <c r="A10" s="137" t="s">
        <v>386</v>
      </c>
      <c r="B10" s="1" t="s">
        <v>390</v>
      </c>
      <c r="C10" s="1" t="s">
        <v>268</v>
      </c>
      <c r="D10" s="1" t="s">
        <v>387</v>
      </c>
      <c r="E10" s="1" t="s">
        <v>388</v>
      </c>
      <c r="F10" s="9">
        <v>0</v>
      </c>
      <c r="G10" s="9">
        <v>0</v>
      </c>
      <c r="H10" s="199"/>
      <c r="I10" s="3"/>
      <c r="K10" s="199"/>
      <c r="N10" s="3"/>
    </row>
    <row r="11" spans="1:20" s="4" customFormat="1">
      <c r="A11" s="31" t="s">
        <v>389</v>
      </c>
      <c r="B11" s="4" t="s">
        <v>77</v>
      </c>
      <c r="C11" s="4" t="s">
        <v>141</v>
      </c>
      <c r="D11" s="4" t="s">
        <v>270</v>
      </c>
      <c r="E11" s="4" t="s">
        <v>271</v>
      </c>
      <c r="F11" s="124">
        <v>64819515</v>
      </c>
      <c r="G11" s="124">
        <f t="shared" ref="G11:G24" si="0">F11</f>
        <v>64819515</v>
      </c>
      <c r="H11" s="7">
        <v>44209</v>
      </c>
      <c r="I11" s="7">
        <v>44210</v>
      </c>
      <c r="J11" s="124">
        <f>G11</f>
        <v>64819515</v>
      </c>
      <c r="K11" s="7">
        <v>45290</v>
      </c>
      <c r="L11" s="124">
        <v>0</v>
      </c>
      <c r="M11" s="124">
        <f t="shared" ref="M11:M12" si="1">J11-L11</f>
        <v>64819515</v>
      </c>
      <c r="N11" s="7">
        <v>44211</v>
      </c>
    </row>
    <row r="12" spans="1:20" s="4" customFormat="1">
      <c r="A12" s="31" t="s">
        <v>396</v>
      </c>
      <c r="B12" s="4" t="s">
        <v>77</v>
      </c>
      <c r="C12" s="4" t="s">
        <v>382</v>
      </c>
      <c r="D12" s="4" t="s">
        <v>397</v>
      </c>
      <c r="E12" s="4" t="s">
        <v>81</v>
      </c>
      <c r="F12" s="124">
        <v>40000000</v>
      </c>
      <c r="G12" s="124">
        <f t="shared" si="0"/>
        <v>40000000</v>
      </c>
      <c r="H12" s="7">
        <v>44210</v>
      </c>
      <c r="I12" s="7">
        <v>44210</v>
      </c>
      <c r="J12" s="124">
        <f>G12</f>
        <v>40000000</v>
      </c>
      <c r="K12" s="7">
        <v>45290</v>
      </c>
      <c r="L12" s="124">
        <v>0</v>
      </c>
      <c r="M12" s="124">
        <f t="shared" si="1"/>
        <v>40000000</v>
      </c>
      <c r="N12" s="7">
        <v>44211</v>
      </c>
    </row>
    <row r="13" spans="1:20" s="1" customFormat="1" ht="12">
      <c r="A13" s="137" t="s">
        <v>404</v>
      </c>
      <c r="B13" s="1" t="s">
        <v>390</v>
      </c>
      <c r="C13" s="1" t="s">
        <v>268</v>
      </c>
      <c r="D13" s="1" t="s">
        <v>405</v>
      </c>
      <c r="E13" s="1" t="s">
        <v>336</v>
      </c>
      <c r="F13" s="9">
        <v>0</v>
      </c>
      <c r="G13" s="9">
        <f t="shared" si="0"/>
        <v>0</v>
      </c>
      <c r="H13" s="3"/>
      <c r="I13" s="3"/>
      <c r="J13" s="9"/>
      <c r="L13" s="9"/>
      <c r="M13" s="9"/>
      <c r="N13" s="3"/>
    </row>
    <row r="14" spans="1:20" s="4" customFormat="1">
      <c r="A14" s="31" t="s">
        <v>422</v>
      </c>
      <c r="B14" s="4" t="s">
        <v>77</v>
      </c>
      <c r="C14" s="4" t="s">
        <v>98</v>
      </c>
      <c r="D14" s="4" t="s">
        <v>423</v>
      </c>
      <c r="E14" s="4" t="s">
        <v>79</v>
      </c>
      <c r="F14" s="124">
        <v>30000000</v>
      </c>
      <c r="G14" s="124">
        <f t="shared" si="0"/>
        <v>30000000</v>
      </c>
      <c r="H14" s="7">
        <v>44208</v>
      </c>
      <c r="I14" s="7">
        <v>44210</v>
      </c>
      <c r="J14" s="124">
        <f>G14</f>
        <v>30000000</v>
      </c>
      <c r="K14" s="7">
        <v>45290</v>
      </c>
      <c r="L14" s="124">
        <v>0</v>
      </c>
      <c r="M14" s="124">
        <f t="shared" ref="M14:M19" si="2">J14-L14</f>
        <v>30000000</v>
      </c>
      <c r="N14" s="7">
        <v>44211</v>
      </c>
    </row>
    <row r="15" spans="1:20" s="1" customFormat="1" ht="12">
      <c r="A15" s="137" t="s">
        <v>426</v>
      </c>
      <c r="B15" s="1" t="s">
        <v>391</v>
      </c>
      <c r="C15" s="1" t="s">
        <v>382</v>
      </c>
      <c r="D15" s="1" t="s">
        <v>383</v>
      </c>
      <c r="E15" s="1" t="s">
        <v>81</v>
      </c>
      <c r="F15" s="9">
        <v>50000000</v>
      </c>
      <c r="G15" s="9">
        <f t="shared" si="0"/>
        <v>50000000</v>
      </c>
      <c r="H15" s="3">
        <v>44210</v>
      </c>
      <c r="I15" s="3">
        <v>44210</v>
      </c>
      <c r="J15" s="9">
        <f>G15</f>
        <v>50000000</v>
      </c>
      <c r="K15" s="3">
        <v>45290</v>
      </c>
      <c r="L15" s="9">
        <v>50000000</v>
      </c>
      <c r="M15" s="9">
        <f t="shared" si="2"/>
        <v>0</v>
      </c>
      <c r="N15" s="3">
        <v>44541</v>
      </c>
    </row>
    <row r="16" spans="1:20" s="4" customFormat="1">
      <c r="A16" s="31" t="s">
        <v>431</v>
      </c>
      <c r="B16" s="4" t="s">
        <v>77</v>
      </c>
      <c r="C16" s="4" t="s">
        <v>98</v>
      </c>
      <c r="D16" s="4" t="s">
        <v>432</v>
      </c>
      <c r="E16" s="4" t="s">
        <v>79</v>
      </c>
      <c r="F16" s="124">
        <v>39050000</v>
      </c>
      <c r="G16" s="124">
        <f t="shared" si="0"/>
        <v>39050000</v>
      </c>
      <c r="H16" s="7">
        <v>44208</v>
      </c>
      <c r="I16" s="7">
        <v>44210</v>
      </c>
      <c r="J16" s="124">
        <f>G16</f>
        <v>39050000</v>
      </c>
      <c r="K16" s="7">
        <v>45290</v>
      </c>
      <c r="L16" s="124">
        <v>0</v>
      </c>
      <c r="M16" s="124">
        <f t="shared" si="2"/>
        <v>39050000</v>
      </c>
      <c r="N16" s="7">
        <v>44211</v>
      </c>
    </row>
    <row r="17" spans="1:20" s="4" customFormat="1">
      <c r="A17" s="31" t="s">
        <v>433</v>
      </c>
      <c r="B17" s="4" t="s">
        <v>77</v>
      </c>
      <c r="C17" s="4" t="s">
        <v>382</v>
      </c>
      <c r="D17" s="4" t="s">
        <v>434</v>
      </c>
      <c r="E17" s="4" t="s">
        <v>81</v>
      </c>
      <c r="F17" s="124">
        <v>60000000</v>
      </c>
      <c r="G17" s="124">
        <f t="shared" si="0"/>
        <v>60000000</v>
      </c>
      <c r="H17" s="7">
        <v>44210</v>
      </c>
      <c r="I17" s="7">
        <v>44210</v>
      </c>
      <c r="J17" s="124">
        <f>G17</f>
        <v>60000000</v>
      </c>
      <c r="K17" s="7">
        <v>45290</v>
      </c>
      <c r="L17" s="124">
        <v>0</v>
      </c>
      <c r="M17" s="124">
        <f t="shared" si="2"/>
        <v>60000000</v>
      </c>
      <c r="N17" s="7">
        <v>44211</v>
      </c>
    </row>
    <row r="18" spans="1:20" s="4" customFormat="1">
      <c r="A18" s="31" t="s">
        <v>435</v>
      </c>
      <c r="B18" s="4" t="s">
        <v>77</v>
      </c>
      <c r="C18" s="4" t="s">
        <v>158</v>
      </c>
      <c r="D18" s="4" t="s">
        <v>436</v>
      </c>
      <c r="E18" s="4" t="s">
        <v>275</v>
      </c>
      <c r="F18" s="124">
        <v>15000000</v>
      </c>
      <c r="G18" s="124">
        <f t="shared" si="0"/>
        <v>15000000</v>
      </c>
      <c r="H18" s="7">
        <v>44208</v>
      </c>
      <c r="I18" s="7">
        <v>44210</v>
      </c>
      <c r="J18" s="124">
        <v>15000000</v>
      </c>
      <c r="K18" s="7">
        <v>45290</v>
      </c>
      <c r="L18" s="124">
        <v>0</v>
      </c>
      <c r="M18" s="124">
        <f t="shared" si="2"/>
        <v>15000000</v>
      </c>
      <c r="N18" s="7">
        <v>44211</v>
      </c>
    </row>
    <row r="19" spans="1:20" s="1" customFormat="1" ht="12">
      <c r="A19" s="137" t="s">
        <v>441</v>
      </c>
      <c r="B19" s="1" t="s">
        <v>391</v>
      </c>
      <c r="C19" s="1" t="s">
        <v>382</v>
      </c>
      <c r="D19" s="1" t="s">
        <v>442</v>
      </c>
      <c r="E19" s="1" t="s">
        <v>81</v>
      </c>
      <c r="F19" s="9">
        <v>5000000</v>
      </c>
      <c r="G19" s="9">
        <f t="shared" si="0"/>
        <v>5000000</v>
      </c>
      <c r="H19" s="3">
        <v>44210</v>
      </c>
      <c r="I19" s="3">
        <v>44210</v>
      </c>
      <c r="J19" s="9">
        <f>G19</f>
        <v>5000000</v>
      </c>
      <c r="K19" s="3">
        <v>45290</v>
      </c>
      <c r="L19" s="9">
        <v>5000000</v>
      </c>
      <c r="M19" s="9">
        <f t="shared" si="2"/>
        <v>0</v>
      </c>
      <c r="N19" s="3">
        <v>44292</v>
      </c>
    </row>
    <row r="20" spans="1:20" s="1" customFormat="1" ht="12">
      <c r="A20" s="137"/>
      <c r="F20" s="9"/>
      <c r="G20" s="9"/>
      <c r="H20" s="3"/>
      <c r="I20" s="3"/>
      <c r="J20" s="83"/>
      <c r="L20" s="9"/>
      <c r="M20" s="9"/>
      <c r="N20" s="7"/>
    </row>
    <row r="21" spans="1:20" ht="12">
      <c r="A21" s="31" t="s">
        <v>91</v>
      </c>
      <c r="D21" s="1"/>
      <c r="H21" s="199"/>
      <c r="I21" s="3"/>
      <c r="J21" s="481"/>
      <c r="N21" s="7"/>
    </row>
    <row r="22" spans="1:20" s="186" customFormat="1" ht="12">
      <c r="A22" s="31" t="s">
        <v>379</v>
      </c>
      <c r="B22" s="4" t="s">
        <v>77</v>
      </c>
      <c r="C22" s="4" t="s">
        <v>153</v>
      </c>
      <c r="D22" s="4" t="s">
        <v>380</v>
      </c>
      <c r="E22" s="4" t="s">
        <v>81</v>
      </c>
      <c r="F22" s="124">
        <v>45000000</v>
      </c>
      <c r="G22" s="124">
        <f t="shared" si="0"/>
        <v>45000000</v>
      </c>
      <c r="H22" s="7">
        <v>44210</v>
      </c>
      <c r="I22" s="7">
        <v>44210</v>
      </c>
      <c r="J22" s="124">
        <f>G22</f>
        <v>45000000</v>
      </c>
      <c r="K22" s="7">
        <v>45290</v>
      </c>
      <c r="L22" s="124">
        <v>0</v>
      </c>
      <c r="M22" s="124">
        <f>J22-L22</f>
        <v>45000000</v>
      </c>
      <c r="N22" s="7">
        <v>44211</v>
      </c>
    </row>
    <row r="23" spans="1:20" ht="12">
      <c r="A23" s="137" t="s">
        <v>381</v>
      </c>
      <c r="B23" s="1" t="s">
        <v>390</v>
      </c>
      <c r="C23" s="1" t="s">
        <v>382</v>
      </c>
      <c r="D23" s="1" t="s">
        <v>383</v>
      </c>
      <c r="E23" s="1" t="s">
        <v>81</v>
      </c>
      <c r="F23" s="9">
        <v>0</v>
      </c>
      <c r="G23" s="9">
        <f t="shared" si="0"/>
        <v>0</v>
      </c>
      <c r="H23" s="7"/>
      <c r="I23" s="3"/>
      <c r="J23" s="124"/>
      <c r="K23" s="7"/>
      <c r="L23" s="124"/>
      <c r="M23" s="124"/>
      <c r="N23" s="7"/>
    </row>
    <row r="24" spans="1:20" s="186" customFormat="1" ht="12">
      <c r="A24" s="31" t="s">
        <v>384</v>
      </c>
      <c r="B24" s="4" t="s">
        <v>77</v>
      </c>
      <c r="C24" s="4" t="s">
        <v>153</v>
      </c>
      <c r="D24" s="4" t="s">
        <v>385</v>
      </c>
      <c r="E24" s="4" t="s">
        <v>81</v>
      </c>
      <c r="F24" s="124">
        <v>45000000</v>
      </c>
      <c r="G24" s="124">
        <f t="shared" si="0"/>
        <v>45000000</v>
      </c>
      <c r="H24" s="7">
        <v>44210</v>
      </c>
      <c r="I24" s="7">
        <v>44210</v>
      </c>
      <c r="J24" s="124">
        <v>45000000</v>
      </c>
      <c r="K24" s="7">
        <v>45290</v>
      </c>
      <c r="L24" s="124">
        <v>0</v>
      </c>
      <c r="M24" s="124">
        <f t="shared" ref="M24:M26" si="3">J24-L24</f>
        <v>45000000</v>
      </c>
      <c r="N24" s="7">
        <v>44211</v>
      </c>
    </row>
    <row r="25" spans="1:20" s="186" customFormat="1" ht="12">
      <c r="A25" s="31" t="s">
        <v>427</v>
      </c>
      <c r="B25" s="4" t="s">
        <v>77</v>
      </c>
      <c r="C25" s="4" t="s">
        <v>153</v>
      </c>
      <c r="D25" s="4" t="s">
        <v>428</v>
      </c>
      <c r="E25" s="4" t="s">
        <v>81</v>
      </c>
      <c r="F25" s="144">
        <v>9867722.8700000048</v>
      </c>
      <c r="G25" s="144">
        <f>F25</f>
        <v>9867722.8700000048</v>
      </c>
      <c r="H25" s="7">
        <v>44222</v>
      </c>
      <c r="I25" s="7">
        <v>44222</v>
      </c>
      <c r="J25" s="124">
        <f>G25</f>
        <v>9867722.8700000048</v>
      </c>
      <c r="K25" s="7">
        <v>45290</v>
      </c>
      <c r="L25" s="124">
        <v>0</v>
      </c>
      <c r="M25" s="124">
        <f t="shared" si="3"/>
        <v>9867722.8700000048</v>
      </c>
      <c r="N25" s="7">
        <v>44223</v>
      </c>
    </row>
    <row r="26" spans="1:20" s="186" customFormat="1" ht="12">
      <c r="A26" s="5" t="s">
        <v>429</v>
      </c>
      <c r="B26" s="4" t="s">
        <v>77</v>
      </c>
      <c r="C26" s="4" t="s">
        <v>153</v>
      </c>
      <c r="D26" s="4" t="s">
        <v>430</v>
      </c>
      <c r="E26" s="4" t="s">
        <v>81</v>
      </c>
      <c r="F26" s="124">
        <v>50000000</v>
      </c>
      <c r="G26" s="124">
        <v>50000000</v>
      </c>
      <c r="H26" s="7">
        <v>44222</v>
      </c>
      <c r="I26" s="7">
        <v>44222</v>
      </c>
      <c r="J26" s="124">
        <f>G26</f>
        <v>50000000</v>
      </c>
      <c r="K26" s="7">
        <v>45290</v>
      </c>
      <c r="L26" s="124">
        <v>0</v>
      </c>
      <c r="M26" s="124">
        <f t="shared" si="3"/>
        <v>50000000</v>
      </c>
      <c r="N26" s="7">
        <v>44223</v>
      </c>
    </row>
    <row r="27" spans="1:20" ht="12">
      <c r="A27" s="137"/>
      <c r="B27" s="1"/>
      <c r="C27" s="1"/>
      <c r="D27" s="1"/>
      <c r="E27" s="1"/>
      <c r="F27" s="9"/>
      <c r="H27" s="199"/>
      <c r="K27" s="199"/>
    </row>
    <row r="28" spans="1:20" ht="12">
      <c r="F28" s="193">
        <f>SUM(F6:F27)</f>
        <v>503737237.87</v>
      </c>
      <c r="G28" s="193">
        <f>SUM(G6:G27)</f>
        <v>503737237.87</v>
      </c>
      <c r="H28" s="133"/>
      <c r="I28" s="152"/>
      <c r="J28" s="193">
        <f>SUM(J6:J27)</f>
        <v>503737237.87</v>
      </c>
      <c r="K28" s="133"/>
      <c r="L28" s="193">
        <f t="shared" ref="L28:M28" si="4">SUM(L6:L27)</f>
        <v>85000000</v>
      </c>
      <c r="M28" s="193">
        <f t="shared" si="4"/>
        <v>418737237.87</v>
      </c>
    </row>
    <row r="29" spans="1:20">
      <c r="H29" s="199"/>
      <c r="I29" s="199"/>
    </row>
    <row r="30" spans="1:20" ht="12" thickBot="1">
      <c r="G30" s="197"/>
      <c r="H30" s="199"/>
      <c r="I30" s="199"/>
      <c r="J30" s="577"/>
    </row>
    <row r="31" spans="1:20" ht="12.6" thickBot="1">
      <c r="D31" s="195" t="s">
        <v>154</v>
      </c>
      <c r="E31" s="196"/>
      <c r="F31" s="460">
        <f>503737237.87-G28</f>
        <v>0</v>
      </c>
      <c r="H31" s="421"/>
      <c r="I31" s="199"/>
      <c r="J31" s="577"/>
      <c r="T31" s="327">
        <f>F31</f>
        <v>0</v>
      </c>
    </row>
    <row r="32" spans="1:20">
      <c r="F32" s="192"/>
      <c r="H32" s="199"/>
      <c r="I32" s="199"/>
    </row>
    <row r="33" spans="1:20" ht="12" thickBot="1">
      <c r="F33" s="197"/>
    </row>
    <row r="34" spans="1:20" ht="13.2">
      <c r="A34" s="159"/>
      <c r="B34" s="159" t="s">
        <v>324</v>
      </c>
      <c r="C34" s="131"/>
      <c r="D34" s="131"/>
      <c r="E34" s="131"/>
      <c r="F34" s="181"/>
      <c r="G34" s="181"/>
      <c r="H34" s="181"/>
      <c r="I34" s="181"/>
      <c r="J34" s="181"/>
      <c r="K34" s="181"/>
      <c r="L34" s="181"/>
      <c r="M34" s="181"/>
      <c r="N34" s="280"/>
    </row>
    <row r="35" spans="1:20" ht="13.2">
      <c r="A35" s="153" t="s">
        <v>32</v>
      </c>
      <c r="B35" s="272" t="s">
        <v>37</v>
      </c>
      <c r="C35" s="273" t="s">
        <v>31</v>
      </c>
      <c r="D35" s="281" t="s">
        <v>49</v>
      </c>
      <c r="E35" s="281"/>
      <c r="F35" s="176" t="s">
        <v>84</v>
      </c>
      <c r="G35" s="176" t="s">
        <v>258</v>
      </c>
      <c r="H35" s="275" t="s">
        <v>258</v>
      </c>
      <c r="I35" s="275"/>
      <c r="J35" s="177"/>
      <c r="K35" s="275"/>
      <c r="L35" s="176" t="s">
        <v>88</v>
      </c>
      <c r="M35" s="276" t="s">
        <v>89</v>
      </c>
      <c r="N35" s="372" t="s">
        <v>22</v>
      </c>
    </row>
    <row r="36" spans="1:20" ht="13.2">
      <c r="A36" s="153" t="s">
        <v>48</v>
      </c>
      <c r="B36" s="278"/>
      <c r="C36" s="273"/>
      <c r="D36" s="281"/>
      <c r="E36" s="281"/>
      <c r="F36" s="176" t="s">
        <v>55</v>
      </c>
      <c r="G36" s="176" t="s">
        <v>55</v>
      </c>
      <c r="H36" s="275" t="s">
        <v>9</v>
      </c>
      <c r="I36" s="275"/>
      <c r="J36" s="177"/>
      <c r="K36" s="275" t="s">
        <v>18</v>
      </c>
      <c r="L36" s="176" t="s">
        <v>55</v>
      </c>
      <c r="M36" s="276" t="s">
        <v>90</v>
      </c>
      <c r="N36" s="372" t="s">
        <v>5</v>
      </c>
    </row>
    <row r="37" spans="1:20" ht="13.5" customHeight="1" thickBot="1">
      <c r="A37" s="154" t="s">
        <v>17</v>
      </c>
      <c r="B37" s="155"/>
      <c r="C37" s="156"/>
      <c r="D37" s="158"/>
      <c r="E37" s="158"/>
      <c r="F37" s="178"/>
      <c r="G37" s="178"/>
      <c r="H37" s="179"/>
      <c r="I37" s="179"/>
      <c r="J37" s="182"/>
      <c r="K37" s="179"/>
      <c r="L37" s="178"/>
      <c r="M37" s="178"/>
      <c r="N37" s="373" t="s">
        <v>9</v>
      </c>
    </row>
    <row r="38" spans="1:20" s="1" customFormat="1" ht="12">
      <c r="A38" s="137"/>
      <c r="F38" s="9"/>
      <c r="G38" s="9"/>
      <c r="H38" s="3"/>
      <c r="J38" s="9"/>
      <c r="L38" s="9"/>
      <c r="M38" s="9"/>
      <c r="O38" s="13"/>
      <c r="P38" s="13"/>
      <c r="Q38" s="11"/>
    </row>
    <row r="39" spans="1:20" ht="12" thickBot="1"/>
    <row r="40" spans="1:20" ht="12.6" thickBot="1">
      <c r="D40" s="195" t="s">
        <v>257</v>
      </c>
      <c r="E40" s="196"/>
      <c r="F40" s="198"/>
    </row>
    <row r="41" spans="1:20" ht="12" customHeight="1">
      <c r="F41" s="326"/>
    </row>
    <row r="42" spans="1:20" ht="12" thickBot="1"/>
    <row r="43" spans="1:20" ht="12" customHeight="1">
      <c r="A43" s="159"/>
      <c r="B43" s="159" t="s">
        <v>325</v>
      </c>
      <c r="C43" s="131"/>
      <c r="D43" s="131"/>
      <c r="E43" s="131"/>
      <c r="F43" s="181"/>
      <c r="G43" s="181"/>
      <c r="H43" s="181"/>
      <c r="I43" s="181"/>
      <c r="J43" s="181"/>
      <c r="K43" s="181"/>
      <c r="L43" s="181"/>
      <c r="M43" s="181"/>
      <c r="N43" s="280"/>
    </row>
    <row r="44" spans="1:20" ht="12.75" customHeight="1">
      <c r="A44" s="153" t="s">
        <v>32</v>
      </c>
      <c r="B44" s="272" t="s">
        <v>37</v>
      </c>
      <c r="C44" s="273" t="s">
        <v>31</v>
      </c>
      <c r="D44" s="281" t="s">
        <v>49</v>
      </c>
      <c r="E44" s="281" t="s">
        <v>45</v>
      </c>
      <c r="F44" s="176" t="s">
        <v>84</v>
      </c>
      <c r="G44" s="176" t="s">
        <v>54</v>
      </c>
      <c r="H44" s="275"/>
      <c r="I44" s="275" t="s">
        <v>34</v>
      </c>
      <c r="J44" s="177" t="s">
        <v>87</v>
      </c>
      <c r="K44" s="275"/>
      <c r="L44" s="176" t="s">
        <v>92</v>
      </c>
      <c r="M44" s="276" t="s">
        <v>89</v>
      </c>
      <c r="N44" s="277" t="s">
        <v>22</v>
      </c>
    </row>
    <row r="45" spans="1:20" ht="13.2">
      <c r="A45" s="153" t="s">
        <v>48</v>
      </c>
      <c r="B45" s="278"/>
      <c r="C45" s="273"/>
      <c r="D45" s="281"/>
      <c r="E45" s="281"/>
      <c r="F45" s="176" t="s">
        <v>55</v>
      </c>
      <c r="G45" s="176" t="s">
        <v>55</v>
      </c>
      <c r="H45" s="275" t="s">
        <v>9</v>
      </c>
      <c r="I45" s="275" t="s">
        <v>18</v>
      </c>
      <c r="J45" s="177" t="s">
        <v>55</v>
      </c>
      <c r="K45" s="275" t="s">
        <v>18</v>
      </c>
      <c r="L45" s="176" t="s">
        <v>55</v>
      </c>
      <c r="M45" s="276" t="s">
        <v>90</v>
      </c>
      <c r="N45" s="277" t="s">
        <v>5</v>
      </c>
    </row>
    <row r="46" spans="1:20" ht="13.8" thickBot="1">
      <c r="A46" s="154" t="s">
        <v>17</v>
      </c>
      <c r="B46" s="155"/>
      <c r="C46" s="156"/>
      <c r="D46" s="158"/>
      <c r="E46" s="158"/>
      <c r="F46" s="178"/>
      <c r="G46" s="178"/>
      <c r="H46" s="179"/>
      <c r="I46" s="179"/>
      <c r="J46" s="182"/>
      <c r="K46" s="179"/>
      <c r="L46" s="178"/>
      <c r="M46" s="183" t="s">
        <v>93</v>
      </c>
      <c r="N46" s="279" t="s">
        <v>9</v>
      </c>
    </row>
    <row r="47" spans="1:20">
      <c r="A47" s="162" t="s">
        <v>56</v>
      </c>
      <c r="L47" s="197"/>
    </row>
    <row r="48" spans="1:20" ht="12">
      <c r="A48" s="13">
        <v>5213</v>
      </c>
      <c r="B48" s="13" t="s">
        <v>77</v>
      </c>
      <c r="C48" s="13" t="s">
        <v>410</v>
      </c>
      <c r="D48" s="36" t="s">
        <v>392</v>
      </c>
      <c r="E48" s="36" t="s">
        <v>82</v>
      </c>
      <c r="F48" s="420">
        <v>28000000</v>
      </c>
      <c r="G48" s="288">
        <f t="shared" ref="G48:G63" si="5">F48</f>
        <v>28000000</v>
      </c>
      <c r="H48" s="11">
        <v>44048</v>
      </c>
      <c r="I48" s="11">
        <f t="shared" ref="I48:I64" si="6">H48+35</f>
        <v>44083</v>
      </c>
      <c r="J48" s="288">
        <v>28000000</v>
      </c>
      <c r="K48" s="11">
        <v>45290</v>
      </c>
      <c r="L48" s="348">
        <v>26102168.199999999</v>
      </c>
      <c r="M48" s="348">
        <f t="shared" ref="M48:M65" si="7">J48-L48</f>
        <v>1897831.8000000007</v>
      </c>
      <c r="N48" s="152">
        <v>44299</v>
      </c>
      <c r="O48" s="1" t="s">
        <v>712</v>
      </c>
      <c r="T48" s="288">
        <f>M48</f>
        <v>1897831.8000000007</v>
      </c>
    </row>
    <row r="49" spans="1:20" ht="12">
      <c r="A49" s="13">
        <v>5214</v>
      </c>
      <c r="B49" s="13" t="s">
        <v>77</v>
      </c>
      <c r="C49" s="36" t="s">
        <v>312</v>
      </c>
      <c r="D49" s="36" t="s">
        <v>300</v>
      </c>
      <c r="E49" s="36" t="s">
        <v>247</v>
      </c>
      <c r="F49" s="434">
        <v>40000000</v>
      </c>
      <c r="G49" s="434">
        <f t="shared" si="5"/>
        <v>40000000</v>
      </c>
      <c r="H49" s="11">
        <v>44048</v>
      </c>
      <c r="I49" s="11">
        <f t="shared" si="6"/>
        <v>44083</v>
      </c>
      <c r="J49" s="434">
        <v>40000000</v>
      </c>
      <c r="K49" s="11">
        <v>45290</v>
      </c>
      <c r="L49" s="352">
        <v>2731065.67</v>
      </c>
      <c r="M49" s="352">
        <f t="shared" si="7"/>
        <v>37268934.329999998</v>
      </c>
      <c r="N49" s="480">
        <v>44512</v>
      </c>
      <c r="O49" s="209" t="s">
        <v>847</v>
      </c>
      <c r="T49" s="288">
        <f t="shared" ref="T49:T64" si="8">M49</f>
        <v>37268934.329999998</v>
      </c>
    </row>
    <row r="50" spans="1:20" ht="12">
      <c r="A50" s="13">
        <v>5216</v>
      </c>
      <c r="B50" s="13" t="s">
        <v>77</v>
      </c>
      <c r="C50" s="36" t="s">
        <v>76</v>
      </c>
      <c r="D50" s="36" t="s">
        <v>392</v>
      </c>
      <c r="E50" s="36" t="s">
        <v>152</v>
      </c>
      <c r="F50" s="434">
        <v>409970085</v>
      </c>
      <c r="G50" s="434">
        <f t="shared" si="5"/>
        <v>409970085</v>
      </c>
      <c r="H50" s="11">
        <v>44048</v>
      </c>
      <c r="I50" s="11">
        <f t="shared" si="6"/>
        <v>44083</v>
      </c>
      <c r="J50" s="434">
        <v>409970085</v>
      </c>
      <c r="K50" s="11">
        <v>45290</v>
      </c>
      <c r="L50" s="352">
        <f>162701150.67+247268934.33</f>
        <v>409970085</v>
      </c>
      <c r="M50" s="520">
        <f t="shared" si="7"/>
        <v>0</v>
      </c>
      <c r="N50" s="480">
        <v>44512</v>
      </c>
      <c r="O50" s="287" t="s">
        <v>846</v>
      </c>
      <c r="T50" s="288">
        <f t="shared" si="8"/>
        <v>0</v>
      </c>
    </row>
    <row r="51" spans="1:20" ht="12">
      <c r="A51" s="13">
        <v>5217</v>
      </c>
      <c r="B51" s="13" t="s">
        <v>77</v>
      </c>
      <c r="C51" s="13" t="s">
        <v>150</v>
      </c>
      <c r="D51" s="36" t="s">
        <v>392</v>
      </c>
      <c r="E51" s="36" t="s">
        <v>152</v>
      </c>
      <c r="F51" s="420">
        <v>122966432</v>
      </c>
      <c r="G51" s="434">
        <f t="shared" si="5"/>
        <v>122966432</v>
      </c>
      <c r="H51" s="11">
        <v>44048</v>
      </c>
      <c r="I51" s="11">
        <f t="shared" si="6"/>
        <v>44083</v>
      </c>
      <c r="J51" s="434">
        <v>122966432</v>
      </c>
      <c r="K51" s="11">
        <v>45290</v>
      </c>
      <c r="L51" s="288">
        <v>122966432</v>
      </c>
      <c r="M51" s="288">
        <f t="shared" si="7"/>
        <v>0</v>
      </c>
      <c r="N51" s="152">
        <v>44530</v>
      </c>
      <c r="O51" s="1" t="s">
        <v>853</v>
      </c>
      <c r="T51" s="288">
        <f t="shared" si="8"/>
        <v>0</v>
      </c>
    </row>
    <row r="52" spans="1:20" ht="12">
      <c r="A52" s="13">
        <v>5218</v>
      </c>
      <c r="B52" s="13" t="s">
        <v>77</v>
      </c>
      <c r="C52" s="13" t="s">
        <v>311</v>
      </c>
      <c r="D52" s="36" t="s">
        <v>411</v>
      </c>
      <c r="E52" s="36" t="s">
        <v>243</v>
      </c>
      <c r="F52" s="420">
        <v>64819515</v>
      </c>
      <c r="G52" s="434">
        <f t="shared" si="5"/>
        <v>64819515</v>
      </c>
      <c r="H52" s="11">
        <v>44048</v>
      </c>
      <c r="I52" s="11">
        <f t="shared" si="6"/>
        <v>44083</v>
      </c>
      <c r="J52" s="434">
        <v>64819515</v>
      </c>
      <c r="K52" s="11">
        <v>45290</v>
      </c>
      <c r="L52" s="288">
        <v>0</v>
      </c>
      <c r="M52" s="288">
        <f t="shared" si="7"/>
        <v>64819515</v>
      </c>
      <c r="N52" s="152">
        <v>44266</v>
      </c>
      <c r="T52" s="288">
        <f t="shared" si="8"/>
        <v>64819515</v>
      </c>
    </row>
    <row r="53" spans="1:20" ht="12">
      <c r="A53" s="13">
        <v>5219</v>
      </c>
      <c r="B53" s="13" t="s">
        <v>77</v>
      </c>
      <c r="C53" s="13" t="s">
        <v>315</v>
      </c>
      <c r="D53" s="36" t="s">
        <v>411</v>
      </c>
      <c r="E53" s="36" t="s">
        <v>304</v>
      </c>
      <c r="F53" s="420">
        <v>10000000</v>
      </c>
      <c r="G53" s="434">
        <f t="shared" si="5"/>
        <v>10000000</v>
      </c>
      <c r="H53" s="11">
        <v>44048</v>
      </c>
      <c r="I53" s="11">
        <f t="shared" si="6"/>
        <v>44083</v>
      </c>
      <c r="J53" s="434">
        <v>10000000</v>
      </c>
      <c r="K53" s="11">
        <v>45290</v>
      </c>
      <c r="L53" s="288">
        <v>0</v>
      </c>
      <c r="M53" s="288">
        <f t="shared" si="7"/>
        <v>10000000</v>
      </c>
      <c r="N53" s="152">
        <v>44266</v>
      </c>
      <c r="T53" s="288">
        <f t="shared" si="8"/>
        <v>10000000</v>
      </c>
    </row>
    <row r="54" spans="1:20" ht="12">
      <c r="A54" s="13">
        <v>5220</v>
      </c>
      <c r="B54" s="13" t="s">
        <v>77</v>
      </c>
      <c r="C54" s="13" t="s">
        <v>308</v>
      </c>
      <c r="D54" s="36" t="s">
        <v>411</v>
      </c>
      <c r="E54" s="36" t="s">
        <v>306</v>
      </c>
      <c r="F54" s="420">
        <v>20000000</v>
      </c>
      <c r="G54" s="434">
        <f t="shared" si="5"/>
        <v>20000000</v>
      </c>
      <c r="H54" s="11">
        <v>44048</v>
      </c>
      <c r="I54" s="11">
        <f t="shared" si="6"/>
        <v>44083</v>
      </c>
      <c r="J54" s="434">
        <v>20000000</v>
      </c>
      <c r="K54" s="11">
        <v>45290</v>
      </c>
      <c r="L54" s="288">
        <v>0</v>
      </c>
      <c r="M54" s="288">
        <f t="shared" si="7"/>
        <v>20000000</v>
      </c>
      <c r="N54" s="152">
        <v>44266</v>
      </c>
      <c r="T54" s="288">
        <f t="shared" si="8"/>
        <v>20000000</v>
      </c>
    </row>
    <row r="55" spans="1:20" ht="12">
      <c r="A55" s="13">
        <v>5221</v>
      </c>
      <c r="B55" s="13" t="s">
        <v>77</v>
      </c>
      <c r="C55" s="13" t="s">
        <v>310</v>
      </c>
      <c r="D55" s="36" t="s">
        <v>411</v>
      </c>
      <c r="E55" s="36" t="s">
        <v>169</v>
      </c>
      <c r="F55" s="420">
        <v>6000000</v>
      </c>
      <c r="G55" s="434">
        <f t="shared" si="5"/>
        <v>6000000</v>
      </c>
      <c r="H55" s="11">
        <v>44048</v>
      </c>
      <c r="I55" s="11">
        <f t="shared" si="6"/>
        <v>44083</v>
      </c>
      <c r="J55" s="434">
        <v>6000000</v>
      </c>
      <c r="K55" s="11">
        <v>45290</v>
      </c>
      <c r="L55" s="288">
        <v>0</v>
      </c>
      <c r="M55" s="288">
        <f t="shared" si="7"/>
        <v>6000000</v>
      </c>
      <c r="N55" s="152">
        <v>44266</v>
      </c>
      <c r="T55" s="288">
        <f t="shared" si="8"/>
        <v>6000000</v>
      </c>
    </row>
    <row r="56" spans="1:20" ht="12">
      <c r="A56" s="13">
        <v>5222</v>
      </c>
      <c r="B56" s="13" t="s">
        <v>77</v>
      </c>
      <c r="C56" s="13" t="s">
        <v>309</v>
      </c>
      <c r="D56" s="36" t="s">
        <v>411</v>
      </c>
      <c r="E56" s="36" t="s">
        <v>299</v>
      </c>
      <c r="F56" s="420">
        <v>30000000</v>
      </c>
      <c r="G56" s="434">
        <f t="shared" si="5"/>
        <v>30000000</v>
      </c>
      <c r="H56" s="11">
        <v>44048</v>
      </c>
      <c r="I56" s="11">
        <f t="shared" si="6"/>
        <v>44083</v>
      </c>
      <c r="J56" s="434">
        <v>30000000</v>
      </c>
      <c r="K56" s="11">
        <v>45290</v>
      </c>
      <c r="L56" s="288">
        <v>0</v>
      </c>
      <c r="M56" s="288">
        <f t="shared" si="7"/>
        <v>30000000</v>
      </c>
      <c r="N56" s="152">
        <v>44266</v>
      </c>
      <c r="T56" s="288">
        <f t="shared" si="8"/>
        <v>30000000</v>
      </c>
    </row>
    <row r="57" spans="1:20" ht="12">
      <c r="A57" s="13">
        <v>5223</v>
      </c>
      <c r="B57" s="13" t="s">
        <v>77</v>
      </c>
      <c r="C57" s="13" t="s">
        <v>313</v>
      </c>
      <c r="D57" s="36" t="s">
        <v>411</v>
      </c>
      <c r="E57" s="36" t="s">
        <v>412</v>
      </c>
      <c r="F57" s="420">
        <v>35000000</v>
      </c>
      <c r="G57" s="434">
        <f t="shared" si="5"/>
        <v>35000000</v>
      </c>
      <c r="H57" s="11">
        <v>44048</v>
      </c>
      <c r="I57" s="11">
        <f t="shared" si="6"/>
        <v>44083</v>
      </c>
      <c r="J57" s="434">
        <v>35000000</v>
      </c>
      <c r="K57" s="11">
        <v>45290</v>
      </c>
      <c r="L57" s="288">
        <v>0</v>
      </c>
      <c r="M57" s="288">
        <f t="shared" si="7"/>
        <v>35000000</v>
      </c>
      <c r="N57" s="152">
        <v>44266</v>
      </c>
      <c r="T57" s="288">
        <f t="shared" si="8"/>
        <v>35000000</v>
      </c>
    </row>
    <row r="58" spans="1:20" ht="12">
      <c r="A58" s="13">
        <v>5224</v>
      </c>
      <c r="B58" s="13" t="s">
        <v>77</v>
      </c>
      <c r="C58" s="13" t="s">
        <v>319</v>
      </c>
      <c r="D58" s="36" t="s">
        <v>411</v>
      </c>
      <c r="E58" s="36" t="s">
        <v>78</v>
      </c>
      <c r="F58" s="420">
        <v>64819515</v>
      </c>
      <c r="G58" s="434">
        <f t="shared" si="5"/>
        <v>64819515</v>
      </c>
      <c r="H58" s="11">
        <v>44048</v>
      </c>
      <c r="I58" s="11">
        <f t="shared" si="6"/>
        <v>44083</v>
      </c>
      <c r="J58" s="434">
        <f>G58</f>
        <v>64819515</v>
      </c>
      <c r="K58" s="11">
        <v>45290</v>
      </c>
      <c r="L58" s="288">
        <v>0</v>
      </c>
      <c r="M58" s="288">
        <f t="shared" si="7"/>
        <v>64819515</v>
      </c>
      <c r="N58" s="152">
        <v>44266</v>
      </c>
      <c r="T58" s="288">
        <f t="shared" si="8"/>
        <v>64819515</v>
      </c>
    </row>
    <row r="59" spans="1:20" ht="12">
      <c r="A59" s="13">
        <v>5225</v>
      </c>
      <c r="B59" s="13" t="s">
        <v>77</v>
      </c>
      <c r="C59" s="13" t="s">
        <v>268</v>
      </c>
      <c r="D59" s="36" t="s">
        <v>392</v>
      </c>
      <c r="E59" s="36" t="s">
        <v>373</v>
      </c>
      <c r="F59" s="420">
        <v>30000000</v>
      </c>
      <c r="G59" s="434">
        <f t="shared" si="5"/>
        <v>30000000</v>
      </c>
      <c r="H59" s="11">
        <v>44048</v>
      </c>
      <c r="I59" s="11">
        <f t="shared" si="6"/>
        <v>44083</v>
      </c>
      <c r="J59" s="434">
        <v>30000000</v>
      </c>
      <c r="K59" s="11">
        <v>45290</v>
      </c>
      <c r="L59" s="352">
        <v>30000000</v>
      </c>
      <c r="M59" s="352">
        <f t="shared" si="7"/>
        <v>0</v>
      </c>
      <c r="N59" s="480">
        <v>44413</v>
      </c>
      <c r="O59" s="287" t="s">
        <v>774</v>
      </c>
      <c r="T59" s="288">
        <f t="shared" si="8"/>
        <v>0</v>
      </c>
    </row>
    <row r="60" spans="1:20" ht="12">
      <c r="A60" s="13">
        <v>5226</v>
      </c>
      <c r="B60" s="13" t="s">
        <v>77</v>
      </c>
      <c r="C60" s="13" t="s">
        <v>141</v>
      </c>
      <c r="D60" s="36" t="s">
        <v>392</v>
      </c>
      <c r="E60" s="36" t="s">
        <v>413</v>
      </c>
      <c r="F60" s="420">
        <v>27500000</v>
      </c>
      <c r="G60" s="434">
        <f t="shared" si="5"/>
        <v>27500000</v>
      </c>
      <c r="H60" s="11">
        <v>44048</v>
      </c>
      <c r="I60" s="11">
        <f t="shared" si="6"/>
        <v>44083</v>
      </c>
      <c r="J60" s="434">
        <v>27500000</v>
      </c>
      <c r="K60" s="11">
        <v>45290</v>
      </c>
      <c r="L60" s="288">
        <v>0</v>
      </c>
      <c r="M60" s="288">
        <f t="shared" si="7"/>
        <v>27500000</v>
      </c>
      <c r="N60" s="152">
        <v>44251</v>
      </c>
      <c r="T60" s="288">
        <f t="shared" si="8"/>
        <v>27500000</v>
      </c>
    </row>
    <row r="61" spans="1:20" ht="12">
      <c r="A61" s="13">
        <v>5227</v>
      </c>
      <c r="B61" s="13" t="s">
        <v>77</v>
      </c>
      <c r="C61" s="36" t="s">
        <v>316</v>
      </c>
      <c r="D61" s="36" t="s">
        <v>414</v>
      </c>
      <c r="E61" s="36" t="s">
        <v>413</v>
      </c>
      <c r="F61" s="434">
        <v>37319515</v>
      </c>
      <c r="G61" s="434">
        <f t="shared" si="5"/>
        <v>37319515</v>
      </c>
      <c r="H61" s="11">
        <v>44048</v>
      </c>
      <c r="I61" s="11">
        <f t="shared" si="6"/>
        <v>44083</v>
      </c>
      <c r="J61" s="434">
        <v>37319515</v>
      </c>
      <c r="K61" s="11">
        <v>45290</v>
      </c>
      <c r="L61" s="288">
        <v>0</v>
      </c>
      <c r="M61" s="288">
        <f t="shared" si="7"/>
        <v>37319515</v>
      </c>
      <c r="N61" s="152">
        <v>44266</v>
      </c>
      <c r="T61" s="288">
        <f t="shared" si="8"/>
        <v>37319515</v>
      </c>
    </row>
    <row r="62" spans="1:20" ht="12">
      <c r="A62" s="13">
        <v>5228</v>
      </c>
      <c r="B62" s="13" t="s">
        <v>77</v>
      </c>
      <c r="C62" s="36" t="s">
        <v>437</v>
      </c>
      <c r="D62" s="36" t="s">
        <v>414</v>
      </c>
      <c r="E62" s="36" t="s">
        <v>167</v>
      </c>
      <c r="F62" s="434">
        <v>4000000</v>
      </c>
      <c r="G62" s="434">
        <f t="shared" si="5"/>
        <v>4000000</v>
      </c>
      <c r="H62" s="11">
        <v>44048</v>
      </c>
      <c r="I62" s="11">
        <f t="shared" si="6"/>
        <v>44083</v>
      </c>
      <c r="J62" s="434">
        <v>4000000</v>
      </c>
      <c r="K62" s="11">
        <v>45290</v>
      </c>
      <c r="L62" s="288">
        <v>0</v>
      </c>
      <c r="M62" s="288">
        <f t="shared" si="7"/>
        <v>4000000</v>
      </c>
      <c r="N62" s="152">
        <v>44266</v>
      </c>
      <c r="T62" s="288">
        <f t="shared" si="8"/>
        <v>4000000</v>
      </c>
    </row>
    <row r="63" spans="1:20" ht="12">
      <c r="A63" s="13">
        <v>5229</v>
      </c>
      <c r="B63" s="13" t="s">
        <v>77</v>
      </c>
      <c r="C63" s="36" t="s">
        <v>307</v>
      </c>
      <c r="D63" s="36" t="s">
        <v>415</v>
      </c>
      <c r="E63" s="36" t="s">
        <v>165</v>
      </c>
      <c r="F63" s="434">
        <v>15000000</v>
      </c>
      <c r="G63" s="434">
        <f t="shared" si="5"/>
        <v>15000000</v>
      </c>
      <c r="H63" s="11">
        <v>44048</v>
      </c>
      <c r="I63" s="11">
        <f t="shared" si="6"/>
        <v>44083</v>
      </c>
      <c r="J63" s="434">
        <v>15000000</v>
      </c>
      <c r="K63" s="11">
        <v>45290</v>
      </c>
      <c r="L63" s="288">
        <v>0</v>
      </c>
      <c r="M63" s="288">
        <f t="shared" si="7"/>
        <v>15000000</v>
      </c>
      <c r="N63" s="152">
        <v>44266</v>
      </c>
      <c r="T63" s="288">
        <f t="shared" si="8"/>
        <v>15000000</v>
      </c>
    </row>
    <row r="64" spans="1:20" ht="12">
      <c r="A64" s="13">
        <v>5232</v>
      </c>
      <c r="B64" s="13" t="s">
        <v>77</v>
      </c>
      <c r="C64" s="36" t="s">
        <v>150</v>
      </c>
      <c r="D64" s="36" t="s">
        <v>392</v>
      </c>
      <c r="E64" s="36" t="s">
        <v>152</v>
      </c>
      <c r="F64" s="434">
        <v>118111220</v>
      </c>
      <c r="G64" s="434">
        <f>F64</f>
        <v>118111220</v>
      </c>
      <c r="H64" s="11">
        <v>44050</v>
      </c>
      <c r="I64" s="11">
        <f t="shared" si="6"/>
        <v>44085</v>
      </c>
      <c r="J64" s="434">
        <v>118111220</v>
      </c>
      <c r="K64" s="11">
        <v>45290</v>
      </c>
      <c r="L64" s="288">
        <v>118111220</v>
      </c>
      <c r="M64" s="288">
        <f t="shared" si="7"/>
        <v>0</v>
      </c>
      <c r="N64" s="152">
        <v>44530</v>
      </c>
      <c r="O64" s="1" t="s">
        <v>854</v>
      </c>
      <c r="T64" s="288">
        <f t="shared" si="8"/>
        <v>0</v>
      </c>
    </row>
    <row r="65" spans="1:20" s="424" customFormat="1" ht="12">
      <c r="A65" s="487">
        <v>5267</v>
      </c>
      <c r="B65" s="487" t="s">
        <v>77</v>
      </c>
      <c r="C65" s="488" t="s">
        <v>76</v>
      </c>
      <c r="D65" s="488" t="s">
        <v>248</v>
      </c>
      <c r="E65" s="488" t="s">
        <v>152</v>
      </c>
      <c r="F65" s="489">
        <v>162000000</v>
      </c>
      <c r="G65" s="490">
        <v>162000000</v>
      </c>
      <c r="H65" s="491">
        <v>44148</v>
      </c>
      <c r="I65" s="492">
        <f>H65+35</f>
        <v>44183</v>
      </c>
      <c r="J65" s="490">
        <v>0</v>
      </c>
      <c r="K65" s="491">
        <f>H65+210</f>
        <v>44358</v>
      </c>
      <c r="L65" s="493">
        <v>0</v>
      </c>
      <c r="M65" s="493">
        <f t="shared" si="7"/>
        <v>0</v>
      </c>
      <c r="N65" s="429">
        <v>44244</v>
      </c>
      <c r="O65" s="473" t="s">
        <v>664</v>
      </c>
      <c r="T65" s="493">
        <v>0</v>
      </c>
    </row>
    <row r="66" spans="1:20" ht="12">
      <c r="A66" s="13"/>
      <c r="B66" s="13"/>
      <c r="C66" s="13"/>
      <c r="D66" s="13"/>
      <c r="E66" s="13"/>
      <c r="F66" s="288"/>
      <c r="G66" s="185"/>
      <c r="H66" s="185"/>
      <c r="I66" s="185"/>
      <c r="J66" s="185"/>
      <c r="K66" s="185"/>
      <c r="M66" s="203"/>
      <c r="N66" s="152"/>
      <c r="T66" s="472"/>
    </row>
    <row r="67" spans="1:20" ht="12">
      <c r="F67" s="185"/>
      <c r="G67" s="485"/>
      <c r="H67" s="185"/>
      <c r="I67" s="185"/>
      <c r="J67" s="193">
        <f>SUM(J48:J66)</f>
        <v>1063506282</v>
      </c>
      <c r="K67" s="411"/>
      <c r="L67" s="193">
        <f>SUM(L48:L66)</f>
        <v>709880970.87</v>
      </c>
      <c r="M67" s="193">
        <f>SUM(M48:M66)</f>
        <v>353625311.13</v>
      </c>
      <c r="N67" s="152"/>
      <c r="T67" s="327">
        <f>SUM(T48:T66)</f>
        <v>353625311.13</v>
      </c>
    </row>
    <row r="68" spans="1:20" ht="12.6" thickBot="1">
      <c r="F68" s="485"/>
      <c r="G68" s="486"/>
      <c r="H68" s="185"/>
      <c r="I68" s="185"/>
      <c r="J68" s="185"/>
      <c r="K68" s="185"/>
      <c r="M68" s="396"/>
      <c r="N68" s="152"/>
    </row>
    <row r="69" spans="1:20" ht="12">
      <c r="A69" s="169" t="s">
        <v>94</v>
      </c>
      <c r="F69" s="485"/>
      <c r="G69" s="485"/>
      <c r="H69" s="152"/>
      <c r="I69" s="185"/>
      <c r="J69" s="477"/>
      <c r="K69" s="289"/>
      <c r="M69" s="396"/>
      <c r="N69" s="152"/>
    </row>
    <row r="70" spans="1:20" ht="12">
      <c r="A70" s="13">
        <v>5199</v>
      </c>
      <c r="B70" s="13" t="s">
        <v>77</v>
      </c>
      <c r="C70" s="13" t="s">
        <v>616</v>
      </c>
      <c r="D70" s="36" t="s">
        <v>94</v>
      </c>
      <c r="E70" s="36" t="s">
        <v>79</v>
      </c>
      <c r="F70" s="420">
        <v>60000000</v>
      </c>
      <c r="G70" s="288">
        <v>60000000</v>
      </c>
      <c r="H70" s="11">
        <v>44019</v>
      </c>
      <c r="I70" s="11">
        <f>H70+35</f>
        <v>44054</v>
      </c>
      <c r="J70" s="288">
        <v>60000000</v>
      </c>
      <c r="K70" s="11">
        <v>45290</v>
      </c>
      <c r="L70" s="352">
        <v>60000000</v>
      </c>
      <c r="M70" s="352">
        <f>J70-L70</f>
        <v>0</v>
      </c>
      <c r="N70" s="480">
        <v>44442</v>
      </c>
      <c r="O70" s="545" t="s">
        <v>827</v>
      </c>
      <c r="T70" s="288">
        <f>M70</f>
        <v>0</v>
      </c>
    </row>
    <row r="71" spans="1:20" ht="12">
      <c r="A71" s="13">
        <v>5203</v>
      </c>
      <c r="B71" s="13" t="s">
        <v>77</v>
      </c>
      <c r="C71" s="13" t="s">
        <v>378</v>
      </c>
      <c r="D71" s="36" t="s">
        <v>94</v>
      </c>
      <c r="E71" s="36" t="s">
        <v>80</v>
      </c>
      <c r="F71" s="420">
        <v>50000000</v>
      </c>
      <c r="G71" s="288">
        <v>50000000</v>
      </c>
      <c r="H71" s="11">
        <v>44028</v>
      </c>
      <c r="I71" s="11">
        <f>H71+35</f>
        <v>44063</v>
      </c>
      <c r="J71" s="288">
        <v>50000000</v>
      </c>
      <c r="K71" s="11">
        <v>45290</v>
      </c>
      <c r="L71" s="352">
        <v>35000000</v>
      </c>
      <c r="M71" s="352">
        <f>J71-L71</f>
        <v>15000000</v>
      </c>
      <c r="N71" s="480">
        <v>44484</v>
      </c>
      <c r="O71" s="545" t="s">
        <v>836</v>
      </c>
      <c r="Q71" s="481"/>
      <c r="T71" s="288">
        <f t="shared" ref="T71:T95" si="9">M71</f>
        <v>15000000</v>
      </c>
    </row>
    <row r="72" spans="1:20" ht="12">
      <c r="A72" s="13">
        <v>5204</v>
      </c>
      <c r="B72" s="13" t="s">
        <v>391</v>
      </c>
      <c r="C72" s="13" t="s">
        <v>76</v>
      </c>
      <c r="D72" s="13" t="s">
        <v>407</v>
      </c>
      <c r="E72" s="13" t="s">
        <v>295</v>
      </c>
      <c r="F72" s="288">
        <v>35000000</v>
      </c>
      <c r="G72" s="288">
        <v>35000000</v>
      </c>
      <c r="H72" s="11">
        <v>44028</v>
      </c>
      <c r="I72" s="11">
        <f t="shared" ref="I72:I97" si="10">H72+35</f>
        <v>44063</v>
      </c>
      <c r="J72" s="288">
        <v>35000000</v>
      </c>
      <c r="K72" s="11">
        <f t="shared" ref="K72:K97" si="11">H72+180</f>
        <v>44208</v>
      </c>
      <c r="L72" s="352">
        <f>26950000+6000000+2050000</f>
        <v>35000000</v>
      </c>
      <c r="M72" s="352">
        <f>J72-L72</f>
        <v>0</v>
      </c>
      <c r="N72" s="480">
        <v>44421</v>
      </c>
      <c r="O72" s="287" t="s">
        <v>803</v>
      </c>
      <c r="T72" s="288">
        <f t="shared" si="9"/>
        <v>0</v>
      </c>
    </row>
    <row r="73" spans="1:20" ht="12">
      <c r="A73" s="13">
        <v>5208</v>
      </c>
      <c r="B73" s="13" t="s">
        <v>391</v>
      </c>
      <c r="C73" s="13" t="s">
        <v>97</v>
      </c>
      <c r="D73" s="36" t="s">
        <v>334</v>
      </c>
      <c r="E73" s="36" t="s">
        <v>95</v>
      </c>
      <c r="F73" s="420">
        <v>38100000</v>
      </c>
      <c r="G73" s="288">
        <v>38100000</v>
      </c>
      <c r="H73" s="11">
        <v>44041</v>
      </c>
      <c r="I73" s="11">
        <f t="shared" si="10"/>
        <v>44076</v>
      </c>
      <c r="J73" s="288">
        <v>38100000</v>
      </c>
      <c r="K73" s="11">
        <f t="shared" si="11"/>
        <v>44221</v>
      </c>
      <c r="L73" s="288">
        <v>38100000</v>
      </c>
      <c r="M73" s="288">
        <f t="shared" ref="M73:M97" si="12">J73-L73</f>
        <v>0</v>
      </c>
      <c r="N73" s="152">
        <v>44224</v>
      </c>
      <c r="O73" s="287"/>
      <c r="P73" s="483"/>
      <c r="T73" s="288">
        <f t="shared" si="9"/>
        <v>0</v>
      </c>
    </row>
    <row r="74" spans="1:20" ht="12">
      <c r="A74" s="13">
        <v>5209</v>
      </c>
      <c r="B74" s="13" t="s">
        <v>77</v>
      </c>
      <c r="C74" s="13" t="s">
        <v>150</v>
      </c>
      <c r="D74" s="36" t="s">
        <v>94</v>
      </c>
      <c r="E74" s="36" t="s">
        <v>79</v>
      </c>
      <c r="F74" s="420">
        <v>23500000</v>
      </c>
      <c r="G74" s="288">
        <v>23500000</v>
      </c>
      <c r="H74" s="11">
        <v>44044</v>
      </c>
      <c r="I74" s="11">
        <f t="shared" si="10"/>
        <v>44079</v>
      </c>
      <c r="J74" s="288">
        <v>23500000</v>
      </c>
      <c r="K74" s="11">
        <v>45290</v>
      </c>
      <c r="L74" s="288">
        <v>23500000</v>
      </c>
      <c r="M74" s="288">
        <f t="shared" si="12"/>
        <v>0</v>
      </c>
      <c r="N74" s="152">
        <v>44356</v>
      </c>
      <c r="O74" s="522" t="s">
        <v>661</v>
      </c>
      <c r="T74" s="288">
        <f t="shared" si="9"/>
        <v>0</v>
      </c>
    </row>
    <row r="75" spans="1:20" ht="12">
      <c r="A75" s="13">
        <v>5212</v>
      </c>
      <c r="B75" s="13" t="s">
        <v>391</v>
      </c>
      <c r="C75" s="13" t="s">
        <v>223</v>
      </c>
      <c r="D75" s="36" t="s">
        <v>618</v>
      </c>
      <c r="E75" s="36" t="s">
        <v>81</v>
      </c>
      <c r="F75" s="420">
        <v>30000000</v>
      </c>
      <c r="G75" s="288">
        <v>30000000</v>
      </c>
      <c r="H75" s="11">
        <v>44044</v>
      </c>
      <c r="I75" s="11">
        <f t="shared" si="10"/>
        <v>44079</v>
      </c>
      <c r="J75" s="288">
        <v>30000000</v>
      </c>
      <c r="K75" s="11">
        <f t="shared" si="11"/>
        <v>44224</v>
      </c>
      <c r="L75" s="288">
        <f>27500000+2500000</f>
        <v>30000000</v>
      </c>
      <c r="M75" s="288">
        <f t="shared" si="12"/>
        <v>0</v>
      </c>
      <c r="N75" s="152">
        <v>44496</v>
      </c>
      <c r="O75" s="1" t="s">
        <v>837</v>
      </c>
      <c r="T75" s="288">
        <f t="shared" si="9"/>
        <v>0</v>
      </c>
    </row>
    <row r="76" spans="1:20" ht="12">
      <c r="A76" s="13">
        <v>5233</v>
      </c>
      <c r="B76" s="13" t="s">
        <v>391</v>
      </c>
      <c r="C76" s="13" t="s">
        <v>141</v>
      </c>
      <c r="D76" s="36" t="s">
        <v>344</v>
      </c>
      <c r="E76" s="36" t="s">
        <v>370</v>
      </c>
      <c r="F76" s="420">
        <v>64819515</v>
      </c>
      <c r="G76" s="288">
        <f>F76</f>
        <v>64819515</v>
      </c>
      <c r="H76" s="11">
        <v>44050</v>
      </c>
      <c r="I76" s="11">
        <f t="shared" si="10"/>
        <v>44085</v>
      </c>
      <c r="J76" s="288">
        <f>G76</f>
        <v>64819515</v>
      </c>
      <c r="K76" s="11">
        <f t="shared" si="11"/>
        <v>44230</v>
      </c>
      <c r="L76" s="288">
        <f>64819000</f>
        <v>64819000</v>
      </c>
      <c r="M76" s="288">
        <f>J76-L76</f>
        <v>515</v>
      </c>
      <c r="N76" s="152">
        <v>44366</v>
      </c>
      <c r="O76" s="287"/>
      <c r="T76" s="288">
        <f t="shared" si="9"/>
        <v>515</v>
      </c>
    </row>
    <row r="77" spans="1:20" ht="12">
      <c r="A77" s="13">
        <v>5235</v>
      </c>
      <c r="B77" s="13" t="s">
        <v>77</v>
      </c>
      <c r="C77" s="13" t="s">
        <v>269</v>
      </c>
      <c r="D77" s="36" t="s">
        <v>94</v>
      </c>
      <c r="E77" s="36" t="s">
        <v>80</v>
      </c>
      <c r="F77" s="288">
        <v>50000000</v>
      </c>
      <c r="G77" s="288">
        <f t="shared" ref="G77:G78" si="13">F77</f>
        <v>50000000</v>
      </c>
      <c r="H77" s="11">
        <v>44050</v>
      </c>
      <c r="I77" s="11">
        <f t="shared" si="10"/>
        <v>44085</v>
      </c>
      <c r="J77" s="288">
        <v>50000000</v>
      </c>
      <c r="K77" s="11">
        <v>45290</v>
      </c>
      <c r="L77" s="288">
        <f>50000000</f>
        <v>50000000</v>
      </c>
      <c r="M77" s="288">
        <f t="shared" ref="M77:M78" si="14">J77-L77</f>
        <v>0</v>
      </c>
      <c r="N77" s="152">
        <v>44541</v>
      </c>
      <c r="O77" s="1" t="s">
        <v>866</v>
      </c>
      <c r="T77" s="288">
        <f t="shared" si="9"/>
        <v>0</v>
      </c>
    </row>
    <row r="78" spans="1:20" ht="12">
      <c r="A78" s="13">
        <v>5236</v>
      </c>
      <c r="B78" s="13" t="s">
        <v>391</v>
      </c>
      <c r="C78" s="13" t="s">
        <v>141</v>
      </c>
      <c r="D78" s="36" t="s">
        <v>345</v>
      </c>
      <c r="E78" s="36" t="s">
        <v>142</v>
      </c>
      <c r="F78" s="420">
        <v>10000000</v>
      </c>
      <c r="G78" s="288">
        <f t="shared" si="13"/>
        <v>10000000</v>
      </c>
      <c r="H78" s="11">
        <v>44050</v>
      </c>
      <c r="I78" s="11">
        <f t="shared" si="10"/>
        <v>44085</v>
      </c>
      <c r="J78" s="288">
        <v>10000000</v>
      </c>
      <c r="K78" s="11">
        <f t="shared" si="11"/>
        <v>44230</v>
      </c>
      <c r="L78" s="288">
        <f>5250000</f>
        <v>5250000</v>
      </c>
      <c r="M78" s="288">
        <f t="shared" si="14"/>
        <v>4750000</v>
      </c>
      <c r="N78" s="152">
        <v>44366</v>
      </c>
      <c r="O78" s="287"/>
      <c r="T78" s="288">
        <f t="shared" si="9"/>
        <v>4750000</v>
      </c>
    </row>
    <row r="79" spans="1:20" ht="12">
      <c r="A79" s="13">
        <v>5238</v>
      </c>
      <c r="B79" s="13" t="s">
        <v>77</v>
      </c>
      <c r="C79" s="13" t="s">
        <v>143</v>
      </c>
      <c r="D79" s="36" t="s">
        <v>94</v>
      </c>
      <c r="E79" s="36" t="s">
        <v>79</v>
      </c>
      <c r="F79" s="420">
        <v>25000000</v>
      </c>
      <c r="G79" s="288">
        <v>25000000</v>
      </c>
      <c r="H79" s="11">
        <v>44050</v>
      </c>
      <c r="I79" s="11">
        <f t="shared" si="10"/>
        <v>44085</v>
      </c>
      <c r="J79" s="288">
        <v>25000000</v>
      </c>
      <c r="K79" s="11">
        <v>45290</v>
      </c>
      <c r="L79" s="288">
        <v>14250000</v>
      </c>
      <c r="M79" s="288">
        <f t="shared" si="12"/>
        <v>10750000</v>
      </c>
      <c r="N79" s="152">
        <v>44505</v>
      </c>
      <c r="O79" s="1" t="s">
        <v>840</v>
      </c>
      <c r="T79" s="288">
        <f t="shared" si="9"/>
        <v>10750000</v>
      </c>
    </row>
    <row r="80" spans="1:20" ht="12">
      <c r="A80" s="13">
        <v>5239</v>
      </c>
      <c r="B80" s="13" t="s">
        <v>77</v>
      </c>
      <c r="C80" s="13" t="s">
        <v>314</v>
      </c>
      <c r="D80" s="36" t="s">
        <v>94</v>
      </c>
      <c r="E80" s="36" t="s">
        <v>280</v>
      </c>
      <c r="F80" s="420">
        <v>50000000</v>
      </c>
      <c r="G80" s="288">
        <v>50000000</v>
      </c>
      <c r="H80" s="11">
        <v>44050</v>
      </c>
      <c r="I80" s="11">
        <f t="shared" si="10"/>
        <v>44085</v>
      </c>
      <c r="J80" s="288">
        <v>50000000</v>
      </c>
      <c r="K80" s="11">
        <v>45290</v>
      </c>
      <c r="L80" s="288">
        <v>50000000</v>
      </c>
      <c r="M80" s="288">
        <f t="shared" si="12"/>
        <v>0</v>
      </c>
      <c r="N80" s="152">
        <v>44365</v>
      </c>
      <c r="O80" s="1" t="s">
        <v>749</v>
      </c>
      <c r="T80" s="288">
        <f t="shared" si="9"/>
        <v>0</v>
      </c>
    </row>
    <row r="81" spans="1:20" ht="12">
      <c r="A81" s="13">
        <v>5240</v>
      </c>
      <c r="B81" s="13" t="s">
        <v>77</v>
      </c>
      <c r="C81" s="13" t="s">
        <v>269</v>
      </c>
      <c r="D81" s="36" t="s">
        <v>94</v>
      </c>
      <c r="E81" s="36" t="s">
        <v>80</v>
      </c>
      <c r="F81" s="288">
        <v>50000000</v>
      </c>
      <c r="G81" s="288">
        <v>50000000</v>
      </c>
      <c r="H81" s="11">
        <v>44054</v>
      </c>
      <c r="I81" s="11">
        <f t="shared" si="10"/>
        <v>44089</v>
      </c>
      <c r="J81" s="288">
        <v>50000000</v>
      </c>
      <c r="K81" s="11">
        <v>45290</v>
      </c>
      <c r="L81" s="288">
        <f>31480000+18520000</f>
        <v>50000000</v>
      </c>
      <c r="M81" s="288">
        <f t="shared" si="12"/>
        <v>0</v>
      </c>
      <c r="N81" s="152">
        <v>44541</v>
      </c>
      <c r="O81" s="1" t="s">
        <v>867</v>
      </c>
      <c r="P81" s="287"/>
      <c r="T81" s="288">
        <f t="shared" si="9"/>
        <v>0</v>
      </c>
    </row>
    <row r="82" spans="1:20" ht="12">
      <c r="A82" s="13">
        <v>5243</v>
      </c>
      <c r="B82" s="13" t="s">
        <v>77</v>
      </c>
      <c r="C82" s="13" t="s">
        <v>282</v>
      </c>
      <c r="D82" s="36" t="s">
        <v>94</v>
      </c>
      <c r="E82" s="36" t="s">
        <v>78</v>
      </c>
      <c r="F82" s="420">
        <v>50000000</v>
      </c>
      <c r="G82" s="288">
        <v>50000000</v>
      </c>
      <c r="H82" s="11">
        <v>44056</v>
      </c>
      <c r="I82" s="11">
        <f t="shared" si="10"/>
        <v>44091</v>
      </c>
      <c r="J82" s="288">
        <v>50000000</v>
      </c>
      <c r="K82" s="11">
        <v>45290</v>
      </c>
      <c r="L82" s="288">
        <f>45600000+4400000</f>
        <v>50000000</v>
      </c>
      <c r="M82" s="288">
        <f t="shared" si="12"/>
        <v>0</v>
      </c>
      <c r="N82" s="152">
        <v>44399</v>
      </c>
      <c r="O82" s="1" t="s">
        <v>761</v>
      </c>
      <c r="T82" s="288">
        <f t="shared" si="9"/>
        <v>0</v>
      </c>
    </row>
    <row r="83" spans="1:20" ht="12">
      <c r="A83" s="13">
        <v>5244</v>
      </c>
      <c r="B83" s="13" t="s">
        <v>77</v>
      </c>
      <c r="C83" s="13" t="s">
        <v>76</v>
      </c>
      <c r="D83" s="36" t="s">
        <v>94</v>
      </c>
      <c r="E83" s="13" t="s">
        <v>79</v>
      </c>
      <c r="F83" s="288">
        <v>27500000</v>
      </c>
      <c r="G83" s="288">
        <v>27500000</v>
      </c>
      <c r="H83" s="11">
        <v>44056</v>
      </c>
      <c r="I83" s="11">
        <f t="shared" si="10"/>
        <v>44091</v>
      </c>
      <c r="J83" s="288">
        <v>27500000</v>
      </c>
      <c r="K83" s="11">
        <v>45290</v>
      </c>
      <c r="L83" s="352">
        <f>2950000+24550000</f>
        <v>27500000</v>
      </c>
      <c r="M83" s="352">
        <f t="shared" si="12"/>
        <v>0</v>
      </c>
      <c r="N83" s="480">
        <v>44421</v>
      </c>
      <c r="O83" s="287" t="s">
        <v>804</v>
      </c>
      <c r="T83" s="288">
        <f t="shared" si="9"/>
        <v>0</v>
      </c>
    </row>
    <row r="84" spans="1:20" ht="12">
      <c r="A84" s="13">
        <v>5245</v>
      </c>
      <c r="B84" s="13" t="s">
        <v>77</v>
      </c>
      <c r="C84" s="13" t="s">
        <v>76</v>
      </c>
      <c r="D84" s="36" t="s">
        <v>94</v>
      </c>
      <c r="E84" s="13" t="s">
        <v>388</v>
      </c>
      <c r="F84" s="288">
        <v>12000000</v>
      </c>
      <c r="G84" s="288">
        <v>12000000</v>
      </c>
      <c r="H84" s="11">
        <v>44056</v>
      </c>
      <c r="I84" s="11">
        <f t="shared" si="10"/>
        <v>44091</v>
      </c>
      <c r="J84" s="288">
        <v>12000000</v>
      </c>
      <c r="K84" s="11">
        <v>45290</v>
      </c>
      <c r="L84" s="352">
        <f>5950000+6050000</f>
        <v>12000000</v>
      </c>
      <c r="M84" s="352">
        <f t="shared" si="12"/>
        <v>0</v>
      </c>
      <c r="N84" s="480">
        <v>44421</v>
      </c>
      <c r="O84" s="287" t="s">
        <v>805</v>
      </c>
      <c r="T84" s="288">
        <f t="shared" si="9"/>
        <v>0</v>
      </c>
    </row>
    <row r="85" spans="1:20" ht="12">
      <c r="A85" s="13">
        <v>5246</v>
      </c>
      <c r="B85" s="13" t="s">
        <v>77</v>
      </c>
      <c r="C85" s="13" t="s">
        <v>76</v>
      </c>
      <c r="D85" s="36" t="s">
        <v>94</v>
      </c>
      <c r="E85" s="13" t="s">
        <v>80</v>
      </c>
      <c r="F85" s="288">
        <v>20000000</v>
      </c>
      <c r="G85" s="288">
        <v>20000000</v>
      </c>
      <c r="H85" s="11">
        <v>44056</v>
      </c>
      <c r="I85" s="11">
        <f t="shared" si="10"/>
        <v>44091</v>
      </c>
      <c r="J85" s="288">
        <v>20000000</v>
      </c>
      <c r="K85" s="11">
        <v>45290</v>
      </c>
      <c r="L85" s="352">
        <f>13950000+6050000</f>
        <v>20000000</v>
      </c>
      <c r="M85" s="352">
        <f t="shared" si="12"/>
        <v>0</v>
      </c>
      <c r="N85" s="480">
        <v>44421</v>
      </c>
      <c r="O85" s="287" t="s">
        <v>806</v>
      </c>
      <c r="T85" s="288">
        <f t="shared" si="9"/>
        <v>0</v>
      </c>
    </row>
    <row r="86" spans="1:20" ht="12">
      <c r="A86" s="13">
        <v>5247</v>
      </c>
      <c r="B86" s="13" t="s">
        <v>77</v>
      </c>
      <c r="C86" s="13" t="s">
        <v>97</v>
      </c>
      <c r="D86" s="36" t="s">
        <v>94</v>
      </c>
      <c r="E86" s="36" t="s">
        <v>95</v>
      </c>
      <c r="F86" s="420">
        <v>25000000</v>
      </c>
      <c r="G86" s="67">
        <f>F86</f>
        <v>25000000</v>
      </c>
      <c r="H86" s="356">
        <v>44063</v>
      </c>
      <c r="I86" s="11">
        <f t="shared" si="10"/>
        <v>44098</v>
      </c>
      <c r="J86" s="288">
        <v>25000000</v>
      </c>
      <c r="K86" s="11">
        <v>45290</v>
      </c>
      <c r="L86" s="352">
        <f>15716000+9284000</f>
        <v>25000000</v>
      </c>
      <c r="M86" s="352">
        <f t="shared" si="12"/>
        <v>0</v>
      </c>
      <c r="N86" s="480">
        <v>44429</v>
      </c>
      <c r="O86" s="1" t="s">
        <v>763</v>
      </c>
      <c r="P86" s="545" t="s">
        <v>822</v>
      </c>
      <c r="T86" s="288">
        <f t="shared" si="9"/>
        <v>0</v>
      </c>
    </row>
    <row r="87" spans="1:20" ht="12">
      <c r="A87" s="13">
        <v>5248</v>
      </c>
      <c r="B87" s="13" t="s">
        <v>391</v>
      </c>
      <c r="C87" s="13" t="s">
        <v>266</v>
      </c>
      <c r="D87" s="36" t="s">
        <v>393</v>
      </c>
      <c r="E87" s="36" t="s">
        <v>78</v>
      </c>
      <c r="F87" s="420">
        <v>18000000</v>
      </c>
      <c r="G87" s="67">
        <v>18000000</v>
      </c>
      <c r="H87" s="356">
        <v>44063</v>
      </c>
      <c r="I87" s="11">
        <f t="shared" si="10"/>
        <v>44098</v>
      </c>
      <c r="J87" s="288">
        <v>18000000</v>
      </c>
      <c r="K87" s="11">
        <f t="shared" si="11"/>
        <v>44243</v>
      </c>
      <c r="L87" s="288">
        <v>18000000</v>
      </c>
      <c r="M87" s="288">
        <f t="shared" si="12"/>
        <v>0</v>
      </c>
      <c r="N87" s="152">
        <v>44250</v>
      </c>
      <c r="O87" s="287"/>
      <c r="T87" s="288">
        <f t="shared" si="9"/>
        <v>0</v>
      </c>
    </row>
    <row r="88" spans="1:20" s="424" customFormat="1" ht="12">
      <c r="A88" s="487">
        <v>5249</v>
      </c>
      <c r="B88" s="487" t="s">
        <v>391</v>
      </c>
      <c r="C88" s="487" t="s">
        <v>268</v>
      </c>
      <c r="D88" s="488" t="s">
        <v>339</v>
      </c>
      <c r="E88" s="488" t="s">
        <v>336</v>
      </c>
      <c r="F88" s="490">
        <v>30000000</v>
      </c>
      <c r="G88" s="496">
        <f t="shared" ref="G88:G93" si="15">F88</f>
        <v>30000000</v>
      </c>
      <c r="H88" s="491">
        <v>44063</v>
      </c>
      <c r="I88" s="492">
        <f t="shared" si="10"/>
        <v>44098</v>
      </c>
      <c r="J88" s="493">
        <f>30000000-18910000</f>
        <v>11090000</v>
      </c>
      <c r="K88" s="492">
        <f t="shared" si="11"/>
        <v>44243</v>
      </c>
      <c r="L88" s="493">
        <f>7090000+4000000</f>
        <v>11090000</v>
      </c>
      <c r="M88" s="493">
        <f t="shared" si="12"/>
        <v>0</v>
      </c>
      <c r="N88" s="429">
        <v>44029</v>
      </c>
      <c r="O88" s="473" t="s">
        <v>668</v>
      </c>
      <c r="P88" s="1" t="s">
        <v>760</v>
      </c>
      <c r="T88" s="493">
        <f>M88-18910000</f>
        <v>-18910000</v>
      </c>
    </row>
    <row r="89" spans="1:20" ht="12">
      <c r="A89" s="13">
        <v>5251</v>
      </c>
      <c r="B89" s="13" t="s">
        <v>391</v>
      </c>
      <c r="C89" s="13" t="s">
        <v>266</v>
      </c>
      <c r="D89" s="36" t="s">
        <v>331</v>
      </c>
      <c r="E89" s="36" t="s">
        <v>78</v>
      </c>
      <c r="F89" s="420">
        <v>30000000</v>
      </c>
      <c r="G89" s="67">
        <f t="shared" si="15"/>
        <v>30000000</v>
      </c>
      <c r="H89" s="356">
        <v>44063</v>
      </c>
      <c r="I89" s="11">
        <f t="shared" si="10"/>
        <v>44098</v>
      </c>
      <c r="J89" s="288">
        <v>30000000</v>
      </c>
      <c r="K89" s="11">
        <f t="shared" si="11"/>
        <v>44243</v>
      </c>
      <c r="L89" s="288">
        <v>30000000</v>
      </c>
      <c r="M89" s="288">
        <f t="shared" si="12"/>
        <v>0</v>
      </c>
      <c r="N89" s="152">
        <v>44252</v>
      </c>
      <c r="O89" s="287"/>
      <c r="T89" s="288">
        <f t="shared" si="9"/>
        <v>0</v>
      </c>
    </row>
    <row r="90" spans="1:20" ht="12">
      <c r="A90" s="13">
        <v>5252</v>
      </c>
      <c r="B90" s="13" t="s">
        <v>77</v>
      </c>
      <c r="C90" s="13" t="s">
        <v>98</v>
      </c>
      <c r="D90" s="36" t="s">
        <v>94</v>
      </c>
      <c r="E90" s="36" t="s">
        <v>79</v>
      </c>
      <c r="F90" s="420">
        <v>45000000</v>
      </c>
      <c r="G90" s="67">
        <f t="shared" si="15"/>
        <v>45000000</v>
      </c>
      <c r="H90" s="356">
        <v>44063</v>
      </c>
      <c r="I90" s="11">
        <f t="shared" si="10"/>
        <v>44098</v>
      </c>
      <c r="J90" s="288">
        <v>45000000</v>
      </c>
      <c r="K90" s="11">
        <v>45290</v>
      </c>
      <c r="L90" s="352">
        <v>45000000</v>
      </c>
      <c r="M90" s="352">
        <f t="shared" si="12"/>
        <v>0</v>
      </c>
      <c r="N90" s="480">
        <v>44419</v>
      </c>
      <c r="O90" s="287" t="s">
        <v>784</v>
      </c>
      <c r="T90" s="288">
        <f t="shared" si="9"/>
        <v>0</v>
      </c>
    </row>
    <row r="91" spans="1:20" ht="12">
      <c r="A91" s="13">
        <v>5253</v>
      </c>
      <c r="B91" s="13" t="s">
        <v>77</v>
      </c>
      <c r="C91" s="13" t="s">
        <v>98</v>
      </c>
      <c r="D91" s="36" t="s">
        <v>94</v>
      </c>
      <c r="E91" s="36" t="s">
        <v>79</v>
      </c>
      <c r="F91" s="420">
        <v>40000000</v>
      </c>
      <c r="G91" s="67">
        <f t="shared" si="15"/>
        <v>40000000</v>
      </c>
      <c r="H91" s="356">
        <v>44063</v>
      </c>
      <c r="I91" s="11">
        <f t="shared" si="10"/>
        <v>44098</v>
      </c>
      <c r="J91" s="288">
        <v>40000000</v>
      </c>
      <c r="K91" s="11">
        <v>45290</v>
      </c>
      <c r="L91" s="352">
        <f>7000000+33000000</f>
        <v>40000000</v>
      </c>
      <c r="M91" s="352">
        <f t="shared" si="12"/>
        <v>0</v>
      </c>
      <c r="N91" s="480">
        <v>44509</v>
      </c>
      <c r="O91" s="287" t="s">
        <v>842</v>
      </c>
      <c r="T91" s="288">
        <f t="shared" si="9"/>
        <v>0</v>
      </c>
    </row>
    <row r="92" spans="1:20" ht="12">
      <c r="A92" s="13">
        <v>5254</v>
      </c>
      <c r="B92" s="13" t="s">
        <v>77</v>
      </c>
      <c r="C92" s="13" t="s">
        <v>221</v>
      </c>
      <c r="D92" s="36" t="s">
        <v>94</v>
      </c>
      <c r="E92" s="36" t="s">
        <v>79</v>
      </c>
      <c r="F92" s="420">
        <v>50000000</v>
      </c>
      <c r="G92" s="67">
        <f t="shared" si="15"/>
        <v>50000000</v>
      </c>
      <c r="H92" s="356">
        <v>44063</v>
      </c>
      <c r="I92" s="11">
        <f t="shared" si="10"/>
        <v>44098</v>
      </c>
      <c r="J92" s="288">
        <v>50000000</v>
      </c>
      <c r="K92" s="11">
        <v>45290</v>
      </c>
      <c r="L92" s="352">
        <f>8000000+8500000</f>
        <v>16500000</v>
      </c>
      <c r="M92" s="352">
        <f t="shared" si="12"/>
        <v>33500000</v>
      </c>
      <c r="N92" s="480">
        <v>44513</v>
      </c>
      <c r="O92" s="287" t="s">
        <v>851</v>
      </c>
      <c r="T92" s="288">
        <f t="shared" si="9"/>
        <v>33500000</v>
      </c>
    </row>
    <row r="93" spans="1:20" ht="12">
      <c r="A93" s="13">
        <v>5255</v>
      </c>
      <c r="B93" s="13" t="s">
        <v>77</v>
      </c>
      <c r="C93" s="13" t="s">
        <v>221</v>
      </c>
      <c r="D93" s="36" t="s">
        <v>94</v>
      </c>
      <c r="E93" s="36" t="s">
        <v>79</v>
      </c>
      <c r="F93" s="420">
        <v>50000000</v>
      </c>
      <c r="G93" s="67">
        <f t="shared" si="15"/>
        <v>50000000</v>
      </c>
      <c r="H93" s="356">
        <v>44063</v>
      </c>
      <c r="I93" s="11">
        <f t="shared" si="10"/>
        <v>44098</v>
      </c>
      <c r="J93" s="288">
        <v>50000000</v>
      </c>
      <c r="K93" s="11">
        <v>45290</v>
      </c>
      <c r="L93" s="288">
        <v>0</v>
      </c>
      <c r="M93" s="288">
        <f t="shared" si="12"/>
        <v>50000000</v>
      </c>
      <c r="N93" s="152">
        <v>44244</v>
      </c>
      <c r="O93" s="287"/>
      <c r="T93" s="288">
        <f t="shared" si="9"/>
        <v>50000000</v>
      </c>
    </row>
    <row r="94" spans="1:20" ht="12">
      <c r="A94" s="13">
        <v>5259</v>
      </c>
      <c r="B94" s="13" t="s">
        <v>77</v>
      </c>
      <c r="C94" s="13" t="s">
        <v>282</v>
      </c>
      <c r="D94" s="36" t="s">
        <v>94</v>
      </c>
      <c r="E94" s="36" t="s">
        <v>78</v>
      </c>
      <c r="F94" s="420">
        <v>35000000</v>
      </c>
      <c r="G94" s="420">
        <v>35000000</v>
      </c>
      <c r="H94" s="356">
        <v>44082</v>
      </c>
      <c r="I94" s="11">
        <f t="shared" si="10"/>
        <v>44117</v>
      </c>
      <c r="J94" s="288">
        <v>35000000</v>
      </c>
      <c r="K94" s="11">
        <v>45290</v>
      </c>
      <c r="L94" s="352">
        <f>33000000-4400000+6400000</f>
        <v>35000000</v>
      </c>
      <c r="M94" s="352">
        <f t="shared" si="12"/>
        <v>0</v>
      </c>
      <c r="N94" s="480">
        <v>44421</v>
      </c>
      <c r="O94" s="1" t="s">
        <v>762</v>
      </c>
      <c r="P94" s="209" t="s">
        <v>793</v>
      </c>
      <c r="T94" s="288">
        <f t="shared" si="9"/>
        <v>0</v>
      </c>
    </row>
    <row r="95" spans="1:20" ht="12">
      <c r="A95" s="13">
        <v>5263</v>
      </c>
      <c r="B95" s="13" t="s">
        <v>391</v>
      </c>
      <c r="C95" s="13" t="s">
        <v>153</v>
      </c>
      <c r="D95" s="36" t="s">
        <v>403</v>
      </c>
      <c r="E95" s="36" t="s">
        <v>81</v>
      </c>
      <c r="F95" s="420">
        <v>40000000</v>
      </c>
      <c r="G95" s="420">
        <v>40000000</v>
      </c>
      <c r="H95" s="356">
        <v>44135</v>
      </c>
      <c r="I95" s="11">
        <f t="shared" si="10"/>
        <v>44170</v>
      </c>
      <c r="J95" s="288">
        <v>40000000</v>
      </c>
      <c r="K95" s="11">
        <f t="shared" si="11"/>
        <v>44315</v>
      </c>
      <c r="L95" s="288">
        <f>34000000+6000000</f>
        <v>40000000</v>
      </c>
      <c r="M95" s="288">
        <f t="shared" si="12"/>
        <v>0</v>
      </c>
      <c r="N95" s="152">
        <v>44530</v>
      </c>
      <c r="O95" s="1" t="s">
        <v>859</v>
      </c>
      <c r="T95" s="288">
        <f t="shared" si="9"/>
        <v>0</v>
      </c>
    </row>
    <row r="96" spans="1:20" s="424" customFormat="1" ht="12">
      <c r="A96" s="487">
        <v>5264</v>
      </c>
      <c r="B96" s="487" t="s">
        <v>77</v>
      </c>
      <c r="C96" s="487" t="s">
        <v>161</v>
      </c>
      <c r="D96" s="488" t="s">
        <v>438</v>
      </c>
      <c r="E96" s="488" t="s">
        <v>80</v>
      </c>
      <c r="F96" s="490">
        <v>35000000</v>
      </c>
      <c r="G96" s="490">
        <v>35000000</v>
      </c>
      <c r="H96" s="491">
        <v>44142</v>
      </c>
      <c r="I96" s="492">
        <f t="shared" si="10"/>
        <v>44177</v>
      </c>
      <c r="J96" s="490">
        <v>0</v>
      </c>
      <c r="K96" s="492">
        <f t="shared" si="11"/>
        <v>44322</v>
      </c>
      <c r="L96" s="493">
        <v>0</v>
      </c>
      <c r="M96" s="493">
        <f t="shared" si="12"/>
        <v>0</v>
      </c>
      <c r="N96" s="429">
        <v>44317</v>
      </c>
      <c r="O96" s="473" t="s">
        <v>722</v>
      </c>
      <c r="T96" s="493">
        <v>0</v>
      </c>
    </row>
    <row r="97" spans="1:20" s="424" customFormat="1" ht="12">
      <c r="A97" s="487">
        <v>5266</v>
      </c>
      <c r="B97" s="487" t="s">
        <v>77</v>
      </c>
      <c r="C97" s="487" t="s">
        <v>234</v>
      </c>
      <c r="D97" s="488" t="s">
        <v>439</v>
      </c>
      <c r="E97" s="488" t="s">
        <v>95</v>
      </c>
      <c r="F97" s="490">
        <v>52000000</v>
      </c>
      <c r="G97" s="490">
        <f>F97</f>
        <v>52000000</v>
      </c>
      <c r="H97" s="491">
        <v>44146</v>
      </c>
      <c r="I97" s="492">
        <f t="shared" si="10"/>
        <v>44181</v>
      </c>
      <c r="J97" s="490">
        <v>0</v>
      </c>
      <c r="K97" s="492">
        <f t="shared" si="11"/>
        <v>44326</v>
      </c>
      <c r="L97" s="493">
        <v>0</v>
      </c>
      <c r="M97" s="493">
        <f t="shared" si="12"/>
        <v>0</v>
      </c>
      <c r="N97" s="429">
        <v>44322</v>
      </c>
      <c r="O97" s="473" t="s">
        <v>724</v>
      </c>
      <c r="T97" s="493">
        <v>0</v>
      </c>
    </row>
    <row r="98" spans="1:20" s="186" customFormat="1" ht="12">
      <c r="A98" s="13"/>
      <c r="B98" s="13"/>
      <c r="C98" s="13"/>
      <c r="D98" s="36"/>
      <c r="E98" s="36"/>
      <c r="F98" s="288"/>
      <c r="G98" s="124"/>
      <c r="H98" s="7"/>
      <c r="I98" s="184"/>
      <c r="J98" s="124"/>
      <c r="K98" s="184"/>
      <c r="L98" s="32"/>
      <c r="M98" s="124"/>
      <c r="N98" s="184"/>
      <c r="T98" s="62"/>
    </row>
    <row r="99" spans="1:20" ht="12">
      <c r="A99" s="5"/>
      <c r="B99" s="5"/>
      <c r="C99" s="5"/>
      <c r="D99" s="26"/>
      <c r="E99" s="26"/>
      <c r="F99" s="347"/>
      <c r="G99" s="71">
        <f>G96*0.00025/3*2</f>
        <v>5833.333333333333</v>
      </c>
      <c r="H99" s="3"/>
      <c r="I99" s="3"/>
      <c r="J99" s="77">
        <f>SUM(J70:J98)</f>
        <v>940009515</v>
      </c>
      <c r="K99" s="7"/>
      <c r="L99" s="77">
        <f t="shared" ref="L99:M99" si="16">SUM(L70:L98)</f>
        <v>826009000</v>
      </c>
      <c r="M99" s="77">
        <f t="shared" si="16"/>
        <v>114000515</v>
      </c>
      <c r="N99" s="152"/>
      <c r="T99" s="77">
        <f>SUM(T70:T98)</f>
        <v>95090515</v>
      </c>
    </row>
    <row r="100" spans="1:20" ht="12.6" thickBot="1">
      <c r="F100" s="185"/>
      <c r="G100" s="185"/>
      <c r="H100" s="185"/>
      <c r="I100" s="185"/>
      <c r="J100" s="494"/>
      <c r="K100" s="185"/>
      <c r="L100" s="481"/>
      <c r="N100" s="152"/>
    </row>
    <row r="101" spans="1:20" ht="12">
      <c r="A101" s="169" t="s">
        <v>60</v>
      </c>
      <c r="F101" s="185"/>
      <c r="G101" s="188"/>
      <c r="H101" s="152"/>
      <c r="I101" s="185"/>
      <c r="J101" s="185"/>
      <c r="K101" s="185"/>
      <c r="N101" s="152"/>
    </row>
    <row r="102" spans="1:20" ht="12">
      <c r="A102" s="13">
        <v>5268</v>
      </c>
      <c r="B102" s="13" t="s">
        <v>77</v>
      </c>
      <c r="C102" s="13" t="s">
        <v>83</v>
      </c>
      <c r="D102" s="36" t="s">
        <v>716</v>
      </c>
      <c r="E102" s="36" t="s">
        <v>82</v>
      </c>
      <c r="F102" s="512">
        <v>99275400.870000005</v>
      </c>
      <c r="G102" s="512">
        <f>F102</f>
        <v>99275400.870000005</v>
      </c>
      <c r="H102" s="356">
        <v>44149</v>
      </c>
      <c r="I102" s="11">
        <f t="shared" ref="I102" si="17">H102+35</f>
        <v>44184</v>
      </c>
      <c r="J102" s="288">
        <v>99275000</v>
      </c>
      <c r="K102" s="11">
        <f>H102+150</f>
        <v>44299</v>
      </c>
      <c r="L102" s="288">
        <v>25000000</v>
      </c>
      <c r="M102" s="288">
        <f>J102-L102</f>
        <v>74275000</v>
      </c>
      <c r="N102" s="152">
        <v>44454</v>
      </c>
      <c r="O102" s="1" t="s">
        <v>735</v>
      </c>
      <c r="T102" s="288">
        <f>M102</f>
        <v>74275000</v>
      </c>
    </row>
    <row r="103" spans="1:20" ht="12">
      <c r="N103" s="152"/>
    </row>
    <row r="104" spans="1:20" ht="12">
      <c r="I104" s="197"/>
      <c r="J104" s="344">
        <f>SUM(J102:J103)</f>
        <v>99275000</v>
      </c>
      <c r="K104" s="186"/>
      <c r="L104" s="77">
        <f>SUM(L102:L103)</f>
        <v>25000000</v>
      </c>
      <c r="M104" s="77">
        <f>SUM(M102:M103)</f>
        <v>74275000</v>
      </c>
      <c r="N104" s="152"/>
      <c r="T104" s="77">
        <f>SUM(T102:T103)</f>
        <v>74275000</v>
      </c>
    </row>
    <row r="105" spans="1:20" ht="12">
      <c r="I105" s="197"/>
      <c r="N105" s="152"/>
    </row>
    <row r="107" spans="1:20" ht="12.6" thickBot="1">
      <c r="J107" s="345">
        <f>F31+J67+J99+J104</f>
        <v>2102790797</v>
      </c>
      <c r="M107" s="345">
        <f>M104+M99+M67+G28</f>
        <v>1045638064</v>
      </c>
      <c r="O107" s="264"/>
      <c r="P107" s="264"/>
      <c r="Q107" s="264"/>
      <c r="R107" s="264"/>
      <c r="T107" s="343">
        <f>T104+T99+T67+G28</f>
        <v>1026728064</v>
      </c>
    </row>
    <row r="108" spans="1:20" ht="12" thickTop="1">
      <c r="M108" s="197"/>
      <c r="T108" s="197"/>
    </row>
    <row r="109" spans="1:20">
      <c r="J109" s="396"/>
      <c r="M109" s="197"/>
    </row>
    <row r="110" spans="1:20">
      <c r="H110" s="199"/>
      <c r="J110" s="396"/>
    </row>
    <row r="111" spans="1:20">
      <c r="H111" s="199"/>
      <c r="L111" s="396"/>
    </row>
    <row r="112" spans="1:20" ht="12">
      <c r="A112" s="13"/>
      <c r="B112" s="13"/>
      <c r="C112" s="13"/>
      <c r="D112" s="36"/>
      <c r="E112" s="36"/>
      <c r="F112" s="420"/>
      <c r="G112" s="288"/>
      <c r="H112" s="11"/>
      <c r="I112" s="11"/>
      <c r="J112" s="348"/>
      <c r="K112" s="11"/>
      <c r="L112" s="396"/>
    </row>
    <row r="113" spans="10:12">
      <c r="J113" s="362"/>
      <c r="K113" s="199"/>
      <c r="L113" s="258"/>
    </row>
    <row r="114" spans="10:12">
      <c r="J114" s="451"/>
    </row>
    <row r="115" spans="10:12">
      <c r="J115" s="451"/>
      <c r="L115" s="481"/>
    </row>
  </sheetData>
  <phoneticPr fontId="3" type="noConversion"/>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Z108"/>
  <sheetViews>
    <sheetView workbookViewId="0">
      <pane xSplit="1" ySplit="2" topLeftCell="B3" activePane="bottomRight" state="frozen"/>
      <selection activeCell="M43" sqref="M43"/>
      <selection pane="topRight" activeCell="M43" sqref="M43"/>
      <selection pane="bottomLeft" activeCell="M43" sqref="M43"/>
      <selection pane="bottomRight"/>
    </sheetView>
  </sheetViews>
  <sheetFormatPr defaultColWidth="9" defaultRowHeight="11.4"/>
  <cols>
    <col min="1" max="1" width="24" bestFit="1" customWidth="1"/>
    <col min="2" max="6" width="24" customWidth="1"/>
    <col min="7" max="7" width="18" customWidth="1"/>
    <col min="8" max="8" width="15.125" bestFit="1" customWidth="1"/>
    <col min="9" max="9" width="15.125" customWidth="1"/>
    <col min="10" max="11" width="15.625" bestFit="1" customWidth="1"/>
    <col min="12" max="12" width="15.75" customWidth="1"/>
    <col min="13" max="14" width="15.125" bestFit="1" customWidth="1"/>
    <col min="15" max="17" width="17.375" bestFit="1" customWidth="1"/>
    <col min="18" max="24" width="15.125" bestFit="1" customWidth="1"/>
    <col min="25" max="26" width="12.875" bestFit="1" customWidth="1"/>
  </cols>
  <sheetData>
    <row r="1" spans="1:26">
      <c r="B1" s="5">
        <v>2025</v>
      </c>
      <c r="C1" s="5">
        <v>2024</v>
      </c>
      <c r="D1" s="5">
        <v>2023</v>
      </c>
      <c r="E1" s="5">
        <v>2022</v>
      </c>
      <c r="F1" s="5">
        <v>2021</v>
      </c>
      <c r="G1" s="5">
        <v>2020</v>
      </c>
      <c r="H1" s="5">
        <v>2019</v>
      </c>
      <c r="I1" s="5">
        <v>2018</v>
      </c>
      <c r="J1" s="5">
        <v>2017</v>
      </c>
      <c r="K1" s="5">
        <v>2016</v>
      </c>
      <c r="L1" s="5">
        <v>2015</v>
      </c>
      <c r="M1" s="5">
        <v>2014</v>
      </c>
      <c r="N1" s="5">
        <v>2013</v>
      </c>
      <c r="O1" s="5">
        <v>2012</v>
      </c>
      <c r="P1" s="5">
        <v>2011</v>
      </c>
      <c r="Q1" s="5">
        <v>2010</v>
      </c>
      <c r="R1" s="211">
        <v>2009</v>
      </c>
      <c r="S1" s="211">
        <v>2008</v>
      </c>
      <c r="T1" s="211">
        <v>2007</v>
      </c>
      <c r="U1" s="211">
        <v>2006</v>
      </c>
      <c r="V1" s="211">
        <v>2005</v>
      </c>
      <c r="W1" s="211">
        <v>2004</v>
      </c>
      <c r="X1" s="211">
        <v>2003</v>
      </c>
      <c r="Y1" s="211" t="s">
        <v>129</v>
      </c>
      <c r="Z1" s="211" t="s">
        <v>130</v>
      </c>
    </row>
    <row r="2" spans="1:26" ht="12" thickBot="1">
      <c r="B2" s="5" t="s">
        <v>99</v>
      </c>
      <c r="C2" s="5" t="s">
        <v>99</v>
      </c>
      <c r="D2" s="5" t="s">
        <v>99</v>
      </c>
      <c r="E2" s="5" t="s">
        <v>99</v>
      </c>
      <c r="F2" s="5" t="s">
        <v>99</v>
      </c>
      <c r="G2" s="5" t="s">
        <v>99</v>
      </c>
      <c r="H2" s="5" t="s">
        <v>99</v>
      </c>
      <c r="I2" s="5" t="s">
        <v>99</v>
      </c>
      <c r="J2" s="5" t="s">
        <v>99</v>
      </c>
      <c r="K2" s="5" t="s">
        <v>99</v>
      </c>
      <c r="L2" s="5" t="s">
        <v>99</v>
      </c>
      <c r="M2" s="5" t="s">
        <v>99</v>
      </c>
      <c r="N2" s="5" t="s">
        <v>99</v>
      </c>
      <c r="O2" s="5" t="s">
        <v>99</v>
      </c>
      <c r="P2" s="5" t="s">
        <v>99</v>
      </c>
      <c r="Q2" s="5" t="s">
        <v>99</v>
      </c>
      <c r="R2" s="212" t="s">
        <v>99</v>
      </c>
      <c r="S2" s="212" t="s">
        <v>99</v>
      </c>
      <c r="T2" s="69" t="s">
        <v>99</v>
      </c>
      <c r="U2" s="212" t="s">
        <v>99</v>
      </c>
      <c r="V2" s="212" t="s">
        <v>99</v>
      </c>
      <c r="W2" s="212" t="s">
        <v>99</v>
      </c>
      <c r="X2" s="212" t="s">
        <v>99</v>
      </c>
    </row>
    <row r="3" spans="1:26" ht="12">
      <c r="A3" s="213" t="s">
        <v>100</v>
      </c>
      <c r="B3" s="214">
        <f>Totals!B8</f>
        <v>4067808030</v>
      </c>
      <c r="C3" s="214">
        <v>3812912625</v>
      </c>
      <c r="D3" s="214">
        <v>3603548640</v>
      </c>
      <c r="E3" s="214">
        <v>3248073510</v>
      </c>
      <c r="F3" s="214">
        <v>3229683490</v>
      </c>
      <c r="G3" s="214">
        <v>3044567505</v>
      </c>
      <c r="H3" s="214">
        <v>3013693725</v>
      </c>
      <c r="I3" s="214">
        <v>2971982580</v>
      </c>
      <c r="J3" s="214">
        <v>2786259600</v>
      </c>
      <c r="K3" s="215">
        <v>2746911400</v>
      </c>
      <c r="L3" s="215">
        <v>2695695800</v>
      </c>
      <c r="M3" s="216">
        <v>2644819300</v>
      </c>
      <c r="N3" s="215">
        <v>2475624285</v>
      </c>
      <c r="O3" s="217">
        <v>2439094695</v>
      </c>
      <c r="P3" s="217">
        <v>2388828295</v>
      </c>
      <c r="Q3" s="218">
        <v>2230407180</v>
      </c>
      <c r="R3" s="214">
        <v>2189427660</v>
      </c>
      <c r="S3" s="214">
        <v>2031872300</v>
      </c>
      <c r="T3" s="219">
        <v>1998161555</v>
      </c>
      <c r="U3" s="129">
        <v>1828797440</v>
      </c>
      <c r="V3" s="220">
        <v>1799201760</v>
      </c>
      <c r="W3" s="220">
        <v>1769480721</v>
      </c>
      <c r="X3" s="221">
        <v>1633491975</v>
      </c>
      <c r="Y3" s="129">
        <v>1599376350</v>
      </c>
      <c r="Z3" s="222">
        <v>1303238750</v>
      </c>
    </row>
    <row r="4" spans="1:26" ht="12">
      <c r="A4" s="223" t="s">
        <v>101</v>
      </c>
      <c r="B4" s="96">
        <f>SUM(C49:C52)</f>
        <v>3743195697.0599995</v>
      </c>
      <c r="C4" s="96">
        <v>2792224621.5299997</v>
      </c>
      <c r="D4" s="96">
        <v>2700914810.6500001</v>
      </c>
      <c r="E4" s="96">
        <v>2686322327.4000001</v>
      </c>
      <c r="F4" s="96">
        <v>2978059429.2000003</v>
      </c>
      <c r="G4" s="96">
        <v>3375990905.0444999</v>
      </c>
      <c r="H4" s="96">
        <v>3859636297.79</v>
      </c>
      <c r="I4" s="96">
        <v>3309406951.9200001</v>
      </c>
      <c r="J4" s="96">
        <v>4848200159.04</v>
      </c>
      <c r="K4" s="96">
        <v>3814503629.1999998</v>
      </c>
      <c r="L4" s="266">
        <v>3765710513</v>
      </c>
      <c r="M4" s="96">
        <v>2632133224.8000002</v>
      </c>
      <c r="N4" s="96">
        <v>2242234046.5999999</v>
      </c>
      <c r="O4" s="267">
        <v>2951305638.4499998</v>
      </c>
      <c r="P4" s="267">
        <v>3300803953.3000002</v>
      </c>
      <c r="Q4" s="268">
        <v>3176726243.5500002</v>
      </c>
      <c r="R4" s="96">
        <v>2279707954.3499999</v>
      </c>
      <c r="S4" s="96">
        <v>729155910.35000002</v>
      </c>
      <c r="T4" s="149">
        <v>707913757.5</v>
      </c>
      <c r="U4" s="149">
        <v>940721729</v>
      </c>
      <c r="V4" s="149">
        <v>799457756.54999995</v>
      </c>
      <c r="W4" s="165">
        <v>385204031</v>
      </c>
      <c r="X4" s="224">
        <v>192694519</v>
      </c>
      <c r="Y4" s="76">
        <v>63200000</v>
      </c>
      <c r="Z4" s="225">
        <v>19066155</v>
      </c>
    </row>
    <row r="5" spans="1:26" ht="12.6" thickBot="1">
      <c r="A5" s="226" t="s">
        <v>102</v>
      </c>
      <c r="B5" s="227">
        <f>B3+B4</f>
        <v>7811003727.0599995</v>
      </c>
      <c r="C5" s="227">
        <v>6605137246.5299997</v>
      </c>
      <c r="D5" s="227">
        <f>D3+D4</f>
        <v>6304463450.6499996</v>
      </c>
      <c r="E5" s="227">
        <v>5934395837.3999996</v>
      </c>
      <c r="F5" s="227">
        <v>6207742919.2000008</v>
      </c>
      <c r="G5" s="227">
        <v>6420558410.0445004</v>
      </c>
      <c r="H5" s="227">
        <v>6873330022.79</v>
      </c>
      <c r="I5" s="227">
        <v>6281389531.9200001</v>
      </c>
      <c r="J5" s="227">
        <v>7634459759.04</v>
      </c>
      <c r="K5" s="228">
        <v>6561415029.1999998</v>
      </c>
      <c r="L5" s="229">
        <v>6461406313</v>
      </c>
      <c r="M5" s="229">
        <v>5276952524.8000002</v>
      </c>
      <c r="N5" s="229">
        <v>4717858331.6000004</v>
      </c>
      <c r="O5" s="230">
        <v>5390400333.4499998</v>
      </c>
      <c r="P5" s="230">
        <v>5689632248.3000002</v>
      </c>
      <c r="Q5" s="230">
        <v>5407133423.5500002</v>
      </c>
      <c r="R5" s="231">
        <v>4469135614.3500004</v>
      </c>
      <c r="S5" s="232">
        <v>2761028210.3499999</v>
      </c>
      <c r="T5" s="233">
        <v>2706075312.5</v>
      </c>
      <c r="U5" s="233">
        <v>2769519169</v>
      </c>
      <c r="V5" s="233">
        <v>2598659516.5500002</v>
      </c>
      <c r="W5" s="233">
        <v>2154684752</v>
      </c>
      <c r="X5" s="234">
        <v>1826186494</v>
      </c>
      <c r="Y5" s="233">
        <v>1662576350</v>
      </c>
      <c r="Z5" s="234">
        <v>1322304905</v>
      </c>
    </row>
    <row r="6" spans="1:26" ht="12">
      <c r="A6" s="463"/>
      <c r="B6" s="58"/>
      <c r="C6" s="58"/>
      <c r="D6" s="58"/>
      <c r="E6" s="58"/>
      <c r="F6" s="58"/>
      <c r="G6" s="58"/>
      <c r="H6" s="58"/>
      <c r="I6" s="58"/>
      <c r="J6" s="58"/>
      <c r="K6" s="58"/>
      <c r="L6" s="235"/>
      <c r="M6" s="384"/>
      <c r="N6" s="236"/>
      <c r="O6" s="58"/>
      <c r="P6" s="58"/>
      <c r="Q6" s="58"/>
      <c r="R6" s="58"/>
      <c r="S6" s="58"/>
      <c r="T6" s="96"/>
      <c r="U6" s="96"/>
      <c r="V6" s="165"/>
      <c r="W6" s="165"/>
      <c r="X6" s="224"/>
      <c r="Y6" s="76"/>
      <c r="Z6" s="237"/>
    </row>
    <row r="7" spans="1:26" ht="12.6" thickBot="1">
      <c r="A7" s="226"/>
      <c r="B7" s="459"/>
      <c r="C7" s="459"/>
      <c r="D7" s="459"/>
      <c r="E7" s="459"/>
      <c r="F7" s="459"/>
      <c r="G7" s="459"/>
      <c r="H7" s="459"/>
      <c r="I7" s="459"/>
      <c r="J7" s="459"/>
      <c r="K7" s="406"/>
      <c r="L7" s="406"/>
      <c r="M7" s="406"/>
      <c r="N7" s="406"/>
      <c r="O7" s="406"/>
      <c r="P7" s="406"/>
      <c r="Q7" s="406"/>
      <c r="R7" s="406"/>
      <c r="S7" s="406"/>
      <c r="T7" s="406"/>
      <c r="U7" s="406"/>
      <c r="V7" s="406"/>
      <c r="W7" s="406"/>
      <c r="X7" s="406"/>
      <c r="Y7" s="76"/>
      <c r="Z7" s="237"/>
    </row>
    <row r="8" spans="1:26" ht="12">
      <c r="A8" s="223" t="s">
        <v>103</v>
      </c>
      <c r="B8" s="96">
        <v>0</v>
      </c>
      <c r="C8" s="96">
        <v>0</v>
      </c>
      <c r="D8" s="96">
        <v>0</v>
      </c>
      <c r="E8" s="96">
        <v>0</v>
      </c>
      <c r="F8" s="96">
        <v>0</v>
      </c>
      <c r="G8" s="96">
        <v>0</v>
      </c>
      <c r="H8" s="149">
        <v>0</v>
      </c>
      <c r="I8" s="149">
        <v>0</v>
      </c>
      <c r="J8" s="149">
        <v>0</v>
      </c>
      <c r="K8" s="149">
        <v>0</v>
      </c>
      <c r="L8" s="149">
        <v>0</v>
      </c>
      <c r="M8" s="149">
        <v>0</v>
      </c>
      <c r="N8" s="149">
        <v>0</v>
      </c>
      <c r="O8" s="149">
        <v>0</v>
      </c>
      <c r="P8" s="149">
        <v>10842500</v>
      </c>
      <c r="Q8" s="96">
        <v>0</v>
      </c>
      <c r="R8" s="268"/>
      <c r="S8" s="149">
        <v>0</v>
      </c>
      <c r="T8" s="149">
        <v>491236593.5</v>
      </c>
      <c r="U8" s="149">
        <v>467057690.5</v>
      </c>
      <c r="V8" s="165">
        <v>75815311</v>
      </c>
      <c r="W8" s="165">
        <v>303875370</v>
      </c>
      <c r="X8" s="224">
        <v>166861717</v>
      </c>
      <c r="Y8" s="76">
        <v>453396662</v>
      </c>
      <c r="Z8" s="237">
        <v>418475905</v>
      </c>
    </row>
    <row r="9" spans="1:26" ht="12">
      <c r="A9" s="238" t="s">
        <v>104</v>
      </c>
      <c r="B9" s="389">
        <f>'2023 CF'!L24+'2023 CF'!L25+'2023 CF'!L27+'2023 CF'!L28+'2023 CF'!L29+('2023 CF'!L30-87298849.33)+'2024 CF'!L48</f>
        <v>566577988.14999998</v>
      </c>
      <c r="C9" s="149">
        <v>376885778.55000007</v>
      </c>
      <c r="D9" s="149">
        <v>881763923.6500001</v>
      </c>
      <c r="E9" s="149">
        <v>760448009.70000005</v>
      </c>
      <c r="F9" s="149">
        <v>264771836</v>
      </c>
      <c r="G9" s="149">
        <v>184997155</v>
      </c>
      <c r="H9" s="149">
        <v>0</v>
      </c>
      <c r="I9" s="149">
        <v>0</v>
      </c>
      <c r="J9" s="149">
        <v>0</v>
      </c>
      <c r="K9" s="149">
        <v>31510000</v>
      </c>
      <c r="L9" s="149">
        <v>19870000</v>
      </c>
      <c r="M9" s="149">
        <v>0</v>
      </c>
      <c r="N9" s="149">
        <v>0</v>
      </c>
      <c r="O9" s="149">
        <v>78070000</v>
      </c>
      <c r="P9" s="149">
        <v>562402275</v>
      </c>
      <c r="Q9" s="149">
        <v>0</v>
      </c>
      <c r="R9" s="149">
        <v>51276200</v>
      </c>
      <c r="S9" s="149"/>
      <c r="T9" s="149">
        <v>76750929</v>
      </c>
      <c r="U9" s="149">
        <v>34450000</v>
      </c>
      <c r="V9" s="165">
        <v>0</v>
      </c>
      <c r="W9" s="165">
        <v>0</v>
      </c>
      <c r="X9" s="224">
        <v>10450000</v>
      </c>
      <c r="Y9" s="76">
        <v>0</v>
      </c>
      <c r="Z9" s="237">
        <v>0</v>
      </c>
    </row>
    <row r="10" spans="1:26" ht="12">
      <c r="A10" s="238" t="s">
        <v>105</v>
      </c>
      <c r="B10" s="149"/>
      <c r="C10" s="149">
        <v>0</v>
      </c>
      <c r="D10" s="149">
        <v>0</v>
      </c>
      <c r="E10" s="149">
        <v>0</v>
      </c>
      <c r="F10" s="149">
        <v>0</v>
      </c>
      <c r="G10" s="149">
        <v>0</v>
      </c>
      <c r="H10" s="149">
        <v>0</v>
      </c>
      <c r="I10" s="149">
        <v>0</v>
      </c>
      <c r="J10" s="149">
        <v>0</v>
      </c>
      <c r="K10" s="149">
        <v>0</v>
      </c>
      <c r="L10" s="149">
        <v>0</v>
      </c>
      <c r="M10" s="149">
        <v>0</v>
      </c>
      <c r="N10" s="149">
        <v>0</v>
      </c>
      <c r="O10" s="149">
        <v>0</v>
      </c>
      <c r="P10" s="149">
        <v>0</v>
      </c>
      <c r="Q10" s="149">
        <v>0</v>
      </c>
      <c r="R10" s="149">
        <v>30000000</v>
      </c>
      <c r="S10" s="149"/>
      <c r="T10" s="149"/>
      <c r="U10" s="149"/>
      <c r="V10" s="165"/>
      <c r="W10" s="165"/>
      <c r="X10" s="224"/>
      <c r="Y10" s="76"/>
      <c r="Z10" s="237"/>
    </row>
    <row r="11" spans="1:26" ht="12">
      <c r="A11" s="223" t="s">
        <v>106</v>
      </c>
      <c r="B11" s="96">
        <f>'2023 CF'!L26+'2024 CF'!L51+'2024 CF'!L64</f>
        <v>241078280.40000001</v>
      </c>
      <c r="C11" s="96">
        <v>58840720</v>
      </c>
      <c r="D11" s="96">
        <v>24000000</v>
      </c>
      <c r="E11" s="96">
        <v>104750371</v>
      </c>
      <c r="F11" s="96">
        <v>20623602</v>
      </c>
      <c r="G11" s="96">
        <v>0</v>
      </c>
      <c r="H11" s="96">
        <v>10153000</v>
      </c>
      <c r="I11" s="96">
        <v>15000000</v>
      </c>
      <c r="J11" s="96">
        <v>918015268.89999998</v>
      </c>
      <c r="K11" s="96">
        <v>260068279.56</v>
      </c>
      <c r="L11" s="96">
        <v>57500000</v>
      </c>
      <c r="M11" s="266">
        <v>31266000</v>
      </c>
      <c r="N11" s="96">
        <v>335757940</v>
      </c>
      <c r="O11" s="149">
        <v>228831078</v>
      </c>
      <c r="P11" s="149">
        <v>95000000</v>
      </c>
      <c r="Q11" s="96">
        <v>66142544</v>
      </c>
      <c r="R11" s="96">
        <v>54664820</v>
      </c>
      <c r="S11" s="149">
        <v>99000000</v>
      </c>
      <c r="T11" s="149">
        <v>59300014</v>
      </c>
      <c r="U11" s="149">
        <v>104136159</v>
      </c>
      <c r="V11" s="165">
        <v>197530000</v>
      </c>
      <c r="W11" s="165">
        <v>48528775</v>
      </c>
      <c r="X11" s="224">
        <v>94209746</v>
      </c>
      <c r="Y11" s="76">
        <v>0</v>
      </c>
      <c r="Z11" s="237">
        <v>0</v>
      </c>
    </row>
    <row r="12" spans="1:26" ht="12">
      <c r="A12" s="238" t="s">
        <v>104</v>
      </c>
      <c r="B12" s="149">
        <v>0</v>
      </c>
      <c r="C12" s="149">
        <v>276425155</v>
      </c>
      <c r="D12" s="149">
        <v>487145473.05000001</v>
      </c>
      <c r="E12" s="149">
        <v>452344595</v>
      </c>
      <c r="F12" s="149">
        <v>692865165.5</v>
      </c>
      <c r="G12" s="149">
        <v>1214999246.9245</v>
      </c>
      <c r="H12" s="149">
        <v>1818210608.55</v>
      </c>
      <c r="I12" s="149">
        <v>713413832.36000001</v>
      </c>
      <c r="J12" s="149">
        <v>2111916905.6700001</v>
      </c>
      <c r="K12" s="149">
        <v>50000000</v>
      </c>
      <c r="L12" s="149">
        <v>1224590213</v>
      </c>
      <c r="M12" s="269">
        <v>695266000</v>
      </c>
      <c r="N12" s="149">
        <v>340000000</v>
      </c>
      <c r="O12" s="149">
        <v>455105100</v>
      </c>
      <c r="P12" s="149">
        <v>249003434</v>
      </c>
      <c r="Q12" s="149">
        <v>333000000</v>
      </c>
      <c r="R12" s="149">
        <v>190356000</v>
      </c>
      <c r="S12" s="149">
        <v>35240000</v>
      </c>
      <c r="T12" s="149">
        <v>0</v>
      </c>
      <c r="U12" s="149">
        <v>12629000</v>
      </c>
      <c r="V12" s="165">
        <v>0</v>
      </c>
      <c r="W12" s="165">
        <v>0</v>
      </c>
      <c r="X12" s="224">
        <v>0</v>
      </c>
      <c r="Y12" s="76">
        <v>0</v>
      </c>
      <c r="Z12" s="237">
        <v>0</v>
      </c>
    </row>
    <row r="13" spans="1:26" ht="12">
      <c r="A13" s="238" t="s">
        <v>105</v>
      </c>
      <c r="B13" s="149"/>
      <c r="C13" s="149">
        <v>0</v>
      </c>
      <c r="D13" s="149">
        <v>0</v>
      </c>
      <c r="E13" s="149">
        <v>0</v>
      </c>
      <c r="F13" s="149">
        <v>0</v>
      </c>
      <c r="G13" s="149">
        <v>0</v>
      </c>
      <c r="H13" s="149">
        <v>0</v>
      </c>
      <c r="I13" s="149">
        <v>0</v>
      </c>
      <c r="J13" s="149">
        <v>0</v>
      </c>
      <c r="K13" s="149">
        <v>0</v>
      </c>
      <c r="L13" s="149">
        <v>0</v>
      </c>
      <c r="M13" s="149">
        <v>0</v>
      </c>
      <c r="N13" s="149">
        <v>0</v>
      </c>
      <c r="O13" s="149">
        <v>0</v>
      </c>
      <c r="P13" s="149">
        <v>0</v>
      </c>
      <c r="Q13" s="149">
        <v>398500000</v>
      </c>
      <c r="R13" s="149">
        <v>235800000</v>
      </c>
      <c r="S13" s="149"/>
      <c r="T13" s="149"/>
      <c r="U13" s="149"/>
      <c r="V13" s="165"/>
      <c r="W13" s="165"/>
      <c r="X13" s="224"/>
      <c r="Y13" s="76"/>
      <c r="Z13" s="237"/>
    </row>
    <row r="14" spans="1:26" ht="12">
      <c r="A14" s="223" t="s">
        <v>107</v>
      </c>
      <c r="B14" s="96">
        <f>'SC4 TSAHC'!N11+'SC4 MF- TDHCA'!N21+'SC4 MF- Local Collapse'!N62+'REGION 1'!N10+'REGION 2'!N9+'REGION 3'!N28+'REGION 4'!N9+'REGION 5'!N10+'REGION 6'!N25+'REGION 7'!N26+'REGION 8'!N9+'REGION 9'!N11+'REGION 10'!N9+'REGION 11'!N10+'REGION 12'!N9+'REGION 13'!N10+'SC5 OTHER'!N15+'SC5 OTHER'!N16+'SC5 OTHER'!N20+'SC5 OTHER'!N27+'SC5 OTHER'!N39+'SC5 OTHER'!N50+'SC5 OTHER'!N57+'SC5 OTHER'!N74+'SC5 OTHER'!N78+'SC5 OTHER'!N85+'Aug 15'!P11</f>
        <v>589006404</v>
      </c>
      <c r="C14" s="96">
        <v>878548895.08000004</v>
      </c>
      <c r="D14" s="96">
        <v>934333238.07000005</v>
      </c>
      <c r="E14" s="96">
        <v>1094580971.8899999</v>
      </c>
      <c r="F14" s="96">
        <v>1106663485</v>
      </c>
      <c r="G14" s="64">
        <v>989721000</v>
      </c>
      <c r="H14" s="96">
        <v>381157999</v>
      </c>
      <c r="I14" s="96">
        <v>225577000</v>
      </c>
      <c r="J14" s="96">
        <v>118240400</v>
      </c>
      <c r="K14" s="96">
        <v>225357000</v>
      </c>
      <c r="L14" s="96">
        <v>144676500</v>
      </c>
      <c r="M14" s="266">
        <v>80945000</v>
      </c>
      <c r="N14" s="96">
        <v>72480000</v>
      </c>
      <c r="O14" s="149">
        <v>90325000</v>
      </c>
      <c r="P14" s="149">
        <v>7250000</v>
      </c>
      <c r="Q14" s="96">
        <v>5275000</v>
      </c>
      <c r="R14" s="96">
        <v>0</v>
      </c>
      <c r="S14" s="149">
        <v>38530714</v>
      </c>
      <c r="T14" s="149">
        <v>266479282</v>
      </c>
      <c r="U14" s="149">
        <v>101592000</v>
      </c>
      <c r="V14" s="165">
        <v>108950000</v>
      </c>
      <c r="W14" s="165">
        <v>384700000</v>
      </c>
      <c r="X14" s="225">
        <v>388626000</v>
      </c>
      <c r="Y14" s="76">
        <v>365185169</v>
      </c>
      <c r="Z14" s="237">
        <v>319584000</v>
      </c>
    </row>
    <row r="15" spans="1:26" ht="12">
      <c r="A15" s="238" t="s">
        <v>104</v>
      </c>
      <c r="B15" s="149">
        <f>'2023 CF'!L6+'2023 CF'!L35+('2023 CF'!L38-15000000)+'2023 CF'!L41+'2024 CF'!L6+'2024 CF'!L19+('2024 CF'!L72-6000000-2050000)+'2024 CF'!L73+'2024 CF'!L74+'2024 CF'!L75+'2024 CF'!L76+'2024 CF'!L77+'2024 CF'!L78+'2024 CF'!L79+'2024 CF'!L80+'2024 CF'!L81+'2024 CF'!L82+('2024 CF'!L86-9284000)+'2024 CF'!L87+'2024 CF'!L88+'2024 CF'!L89+('2024 CF'!L94-6400000)+('2024 CF'!L95-6000000)</f>
        <v>646185000</v>
      </c>
      <c r="C15" s="149">
        <v>882051050.39999998</v>
      </c>
      <c r="D15" s="149">
        <v>769141541.85000002</v>
      </c>
      <c r="E15" s="149">
        <v>620934090.80999994</v>
      </c>
      <c r="F15" s="149">
        <v>950323728</v>
      </c>
      <c r="G15" s="149">
        <v>606871000</v>
      </c>
      <c r="H15" s="149">
        <v>663385001</v>
      </c>
      <c r="I15" s="149">
        <v>554545900</v>
      </c>
      <c r="J15" s="149">
        <v>482831600</v>
      </c>
      <c r="K15" s="149">
        <v>353473500</v>
      </c>
      <c r="L15" s="149">
        <v>352830000</v>
      </c>
      <c r="M15" s="269">
        <v>116150000</v>
      </c>
      <c r="N15" s="149">
        <v>100725000</v>
      </c>
      <c r="O15" s="149">
        <v>20100000</v>
      </c>
      <c r="P15" s="149">
        <v>62625000</v>
      </c>
      <c r="Q15" s="149">
        <v>31050000</v>
      </c>
      <c r="R15" s="96">
        <v>28690000</v>
      </c>
      <c r="S15" s="149">
        <v>86135000</v>
      </c>
      <c r="T15" s="149">
        <v>101789718</v>
      </c>
      <c r="U15" s="149">
        <v>329745562</v>
      </c>
      <c r="V15" s="165">
        <v>428150000</v>
      </c>
      <c r="W15" s="165">
        <v>97550000</v>
      </c>
      <c r="X15" s="224">
        <v>123550000</v>
      </c>
      <c r="Y15" s="165">
        <v>0</v>
      </c>
      <c r="Z15" s="239">
        <v>0</v>
      </c>
    </row>
    <row r="16" spans="1:26" ht="12">
      <c r="A16" s="238" t="s">
        <v>105</v>
      </c>
      <c r="B16" s="149">
        <v>0</v>
      </c>
      <c r="C16" s="149">
        <v>0</v>
      </c>
      <c r="D16" s="149">
        <v>0</v>
      </c>
      <c r="E16" s="149">
        <v>0</v>
      </c>
      <c r="F16" s="149">
        <v>0</v>
      </c>
      <c r="G16" s="149">
        <v>0</v>
      </c>
      <c r="H16" s="149">
        <v>0</v>
      </c>
      <c r="I16" s="149">
        <v>0</v>
      </c>
      <c r="J16" s="149">
        <v>0</v>
      </c>
      <c r="K16" s="149">
        <v>0</v>
      </c>
      <c r="L16" s="149">
        <v>0</v>
      </c>
      <c r="M16" s="149">
        <v>0</v>
      </c>
      <c r="N16" s="149">
        <v>0</v>
      </c>
      <c r="O16" s="149">
        <v>0</v>
      </c>
      <c r="P16" s="149">
        <v>0</v>
      </c>
      <c r="Q16" s="149">
        <v>0</v>
      </c>
      <c r="R16" s="149">
        <v>15700000</v>
      </c>
      <c r="S16" s="149"/>
      <c r="T16" s="149"/>
      <c r="U16" s="149"/>
      <c r="V16" s="165"/>
      <c r="W16" s="165"/>
      <c r="X16" s="224"/>
      <c r="Y16" s="165"/>
      <c r="Z16" s="239"/>
    </row>
    <row r="17" spans="1:26" ht="12">
      <c r="A17" s="223" t="s">
        <v>108</v>
      </c>
      <c r="B17" s="96"/>
      <c r="C17" s="96"/>
      <c r="D17" s="58"/>
      <c r="E17" s="58"/>
      <c r="F17" s="58"/>
      <c r="G17" s="58"/>
      <c r="H17" s="149">
        <v>0</v>
      </c>
      <c r="I17" s="149">
        <v>0</v>
      </c>
      <c r="J17" s="149">
        <v>0</v>
      </c>
      <c r="K17" s="149">
        <v>0</v>
      </c>
      <c r="L17" s="149">
        <v>0</v>
      </c>
      <c r="M17" s="149">
        <v>0</v>
      </c>
      <c r="N17" s="149">
        <v>0</v>
      </c>
      <c r="O17" s="149">
        <v>0</v>
      </c>
      <c r="P17" s="149">
        <v>0</v>
      </c>
      <c r="Q17" s="96">
        <v>0</v>
      </c>
      <c r="R17" s="96"/>
      <c r="S17" s="149"/>
      <c r="T17" s="96">
        <v>0</v>
      </c>
      <c r="U17" s="96">
        <v>0</v>
      </c>
      <c r="V17" s="165">
        <v>0</v>
      </c>
      <c r="W17" s="165">
        <v>0</v>
      </c>
      <c r="X17" s="224">
        <v>0</v>
      </c>
      <c r="Y17" s="165">
        <v>0</v>
      </c>
      <c r="Z17" s="239">
        <v>0</v>
      </c>
    </row>
    <row r="18" spans="1:26" ht="12">
      <c r="A18" s="223" t="s">
        <v>3</v>
      </c>
      <c r="B18" s="96">
        <f>'SC3 Small Issue IDBs'!N10</f>
        <v>0</v>
      </c>
      <c r="C18" s="96">
        <v>0</v>
      </c>
      <c r="D18" s="96">
        <v>0</v>
      </c>
      <c r="E18" s="96">
        <v>0</v>
      </c>
      <c r="F18" s="96">
        <v>0</v>
      </c>
      <c r="G18" s="96">
        <v>0</v>
      </c>
      <c r="H18" s="96">
        <v>20000000</v>
      </c>
      <c r="I18" s="149">
        <v>0</v>
      </c>
      <c r="J18" s="75">
        <v>8600000</v>
      </c>
      <c r="K18" s="75">
        <v>10000000</v>
      </c>
      <c r="L18" s="149">
        <v>0</v>
      </c>
      <c r="M18" s="266">
        <v>3650000</v>
      </c>
      <c r="N18" s="96">
        <v>1897830</v>
      </c>
      <c r="O18" s="149">
        <v>10000000</v>
      </c>
      <c r="P18" s="149">
        <v>13300000</v>
      </c>
      <c r="Q18" s="96">
        <v>3440000</v>
      </c>
      <c r="R18" s="96">
        <v>16043250</v>
      </c>
      <c r="S18" s="149">
        <v>40869207</v>
      </c>
      <c r="T18" s="149">
        <v>19402500</v>
      </c>
      <c r="U18" s="96">
        <v>0</v>
      </c>
      <c r="V18" s="165">
        <v>4225000</v>
      </c>
      <c r="W18" s="165">
        <v>10000000</v>
      </c>
      <c r="X18" s="224">
        <v>3700000</v>
      </c>
      <c r="Y18" s="165">
        <v>0</v>
      </c>
      <c r="Z18" s="239">
        <v>0</v>
      </c>
    </row>
    <row r="19" spans="1:26" ht="12">
      <c r="A19" s="238" t="s">
        <v>104</v>
      </c>
      <c r="B19" s="149">
        <v>0</v>
      </c>
      <c r="C19" s="149">
        <v>0</v>
      </c>
      <c r="D19" s="149">
        <v>0</v>
      </c>
      <c r="E19" s="149">
        <v>0</v>
      </c>
      <c r="F19" s="149">
        <v>0</v>
      </c>
      <c r="G19" s="149">
        <v>0</v>
      </c>
      <c r="H19" s="149">
        <v>0</v>
      </c>
      <c r="I19" s="149">
        <v>0</v>
      </c>
      <c r="J19" s="149">
        <v>0</v>
      </c>
      <c r="K19" s="149">
        <v>0</v>
      </c>
      <c r="L19" s="149">
        <v>0</v>
      </c>
      <c r="M19" s="149">
        <v>0</v>
      </c>
      <c r="N19" s="149">
        <v>0</v>
      </c>
      <c r="O19" s="149">
        <v>0</v>
      </c>
      <c r="P19" s="149">
        <v>0</v>
      </c>
      <c r="Q19" s="149">
        <v>0</v>
      </c>
      <c r="R19" s="96"/>
      <c r="S19" s="149"/>
      <c r="T19" s="96">
        <v>0</v>
      </c>
      <c r="U19" s="96">
        <v>0</v>
      </c>
      <c r="V19" s="165">
        <v>3000000</v>
      </c>
      <c r="W19" s="165">
        <v>0</v>
      </c>
      <c r="X19" s="224">
        <v>0</v>
      </c>
      <c r="Y19" s="165">
        <v>0</v>
      </c>
      <c r="Z19" s="239">
        <v>0</v>
      </c>
    </row>
    <row r="20" spans="1:26" ht="12">
      <c r="A20" s="223" t="s">
        <v>109</v>
      </c>
      <c r="B20" s="267">
        <f>'SC5 OTHER'!N9+'SC5 OTHER'!N32+'SC5 OTHER'!N88</f>
        <v>249998395.19999999</v>
      </c>
      <c r="C20" s="96">
        <v>15000000</v>
      </c>
      <c r="D20" s="96">
        <v>100000000</v>
      </c>
      <c r="E20" s="96">
        <v>75000000</v>
      </c>
      <c r="F20" s="96">
        <v>100000000</v>
      </c>
      <c r="G20" s="96">
        <v>76870000</v>
      </c>
      <c r="H20" s="96">
        <v>75000000</v>
      </c>
      <c r="I20" s="96">
        <v>86430000</v>
      </c>
      <c r="J20" s="75">
        <v>0</v>
      </c>
      <c r="K20" s="75">
        <v>50000000</v>
      </c>
      <c r="L20" s="75">
        <v>53350000</v>
      </c>
      <c r="M20" s="270">
        <v>155360000</v>
      </c>
      <c r="N20" s="75">
        <v>40675827</v>
      </c>
      <c r="O20" s="75">
        <v>361535000</v>
      </c>
      <c r="P20" s="75">
        <v>45000000</v>
      </c>
      <c r="Q20" s="96">
        <v>445510316.30000001</v>
      </c>
      <c r="R20" s="96">
        <v>358800000</v>
      </c>
      <c r="S20" s="149">
        <v>658300000</v>
      </c>
      <c r="T20" s="149">
        <v>475235473</v>
      </c>
      <c r="U20" s="149">
        <v>519550000</v>
      </c>
      <c r="V20" s="165">
        <v>139425000</v>
      </c>
      <c r="W20" s="165">
        <v>189355000</v>
      </c>
      <c r="X20" s="224">
        <v>391476662</v>
      </c>
      <c r="Y20" s="76">
        <v>391800000</v>
      </c>
      <c r="Z20" s="237">
        <v>384205000</v>
      </c>
    </row>
    <row r="21" spans="1:26" ht="12">
      <c r="A21" s="238" t="s">
        <v>104</v>
      </c>
      <c r="B21" s="149">
        <f>'2024 CF'!L102</f>
        <v>25000000</v>
      </c>
      <c r="C21" s="149">
        <v>113000000</v>
      </c>
      <c r="D21" s="149">
        <v>66000000</v>
      </c>
      <c r="E21" s="149">
        <v>0</v>
      </c>
      <c r="F21" s="149">
        <v>0</v>
      </c>
      <c r="G21" s="149">
        <v>94030000</v>
      </c>
      <c r="H21" s="149">
        <v>25000000</v>
      </c>
      <c r="I21" s="149">
        <v>352115000</v>
      </c>
      <c r="J21" s="76">
        <v>0</v>
      </c>
      <c r="K21" s="76">
        <v>252885000</v>
      </c>
      <c r="L21" s="76">
        <v>0</v>
      </c>
      <c r="M21" s="76">
        <v>0</v>
      </c>
      <c r="N21" s="76">
        <v>0</v>
      </c>
      <c r="O21" s="76">
        <v>0</v>
      </c>
      <c r="P21" s="76">
        <v>40200000</v>
      </c>
      <c r="Q21" s="149">
        <v>143000000</v>
      </c>
      <c r="R21" s="96"/>
      <c r="S21" s="149"/>
      <c r="T21" s="149">
        <v>96499998</v>
      </c>
      <c r="U21" s="149">
        <v>205500000</v>
      </c>
      <c r="V21" s="165">
        <v>5200000</v>
      </c>
      <c r="W21" s="165">
        <v>0</v>
      </c>
      <c r="X21" s="224">
        <v>22108338</v>
      </c>
      <c r="Y21" s="76">
        <v>0</v>
      </c>
      <c r="Z21" s="237">
        <v>0</v>
      </c>
    </row>
    <row r="22" spans="1:26" ht="12">
      <c r="A22" s="223" t="s">
        <v>110</v>
      </c>
      <c r="B22" s="267">
        <f>'SC5 OTHER'!N72+'SC5 OTHER'!N82</f>
        <v>150928342.5</v>
      </c>
      <c r="C22" s="96">
        <v>142036346.25</v>
      </c>
      <c r="D22" s="96">
        <v>0</v>
      </c>
      <c r="E22" s="96">
        <v>0</v>
      </c>
      <c r="F22" s="96">
        <v>68359729.400000006</v>
      </c>
      <c r="G22" s="96">
        <v>63258647.799999997</v>
      </c>
      <c r="H22" s="64">
        <v>46001315.149999999</v>
      </c>
      <c r="I22" s="76">
        <v>0</v>
      </c>
      <c r="J22" s="75">
        <v>0</v>
      </c>
      <c r="K22" s="75">
        <v>0</v>
      </c>
      <c r="L22" s="75">
        <v>0</v>
      </c>
      <c r="M22" s="75">
        <v>0</v>
      </c>
      <c r="N22" s="75">
        <v>0</v>
      </c>
      <c r="O22" s="75">
        <v>0</v>
      </c>
      <c r="P22" s="75">
        <v>0</v>
      </c>
      <c r="Q22" s="96">
        <v>85850000</v>
      </c>
      <c r="R22" s="96">
        <v>0</v>
      </c>
      <c r="S22" s="149">
        <v>58500000</v>
      </c>
      <c r="T22" s="149">
        <v>209759336</v>
      </c>
      <c r="U22" s="149">
        <v>191945000</v>
      </c>
      <c r="V22" s="165">
        <v>598050000</v>
      </c>
      <c r="W22" s="165">
        <v>296200000</v>
      </c>
      <c r="X22" s="224">
        <v>140000000</v>
      </c>
      <c r="Y22" s="76">
        <v>139500000</v>
      </c>
      <c r="Z22" s="237">
        <v>136840000</v>
      </c>
    </row>
    <row r="23" spans="1:26" ht="12">
      <c r="A23" s="238" t="s">
        <v>104</v>
      </c>
      <c r="B23" s="149">
        <v>0</v>
      </c>
      <c r="C23" s="149">
        <v>0</v>
      </c>
      <c r="D23" s="149">
        <v>43375000</v>
      </c>
      <c r="E23" s="149">
        <v>0</v>
      </c>
      <c r="F23" s="149">
        <v>0</v>
      </c>
      <c r="G23" s="149">
        <v>30032428.350000001</v>
      </c>
      <c r="H23" s="240">
        <v>19967571.649999999</v>
      </c>
      <c r="I23" s="76">
        <v>0</v>
      </c>
      <c r="J23" s="76">
        <v>0</v>
      </c>
      <c r="K23" s="76">
        <v>0</v>
      </c>
      <c r="L23" s="76">
        <v>0</v>
      </c>
      <c r="M23" s="76">
        <v>0</v>
      </c>
      <c r="N23" s="76">
        <v>0</v>
      </c>
      <c r="O23" s="76">
        <v>0</v>
      </c>
      <c r="P23" s="76">
        <v>0</v>
      </c>
      <c r="Q23" s="149">
        <v>208000000</v>
      </c>
      <c r="R23" s="96"/>
      <c r="S23" s="149"/>
      <c r="T23" s="149">
        <v>30645664</v>
      </c>
      <c r="U23" s="96">
        <v>0</v>
      </c>
      <c r="V23" s="165">
        <v>58000000</v>
      </c>
      <c r="W23" s="165">
        <v>0</v>
      </c>
      <c r="X23" s="224">
        <v>0</v>
      </c>
      <c r="Y23" s="76">
        <v>0</v>
      </c>
      <c r="Z23" s="237">
        <v>0</v>
      </c>
    </row>
    <row r="24" spans="1:26" ht="12">
      <c r="A24" s="223" t="s">
        <v>111</v>
      </c>
      <c r="B24" s="267">
        <f>'SC2 State Voted'!N10</f>
        <v>99734175.049999997</v>
      </c>
      <c r="C24" s="96">
        <v>111958628.8</v>
      </c>
      <c r="D24" s="96">
        <v>141477004.5</v>
      </c>
      <c r="E24" s="96">
        <v>100422987.95</v>
      </c>
      <c r="F24" s="96">
        <v>177456005.59999999</v>
      </c>
      <c r="G24" s="268">
        <v>69990168.900000006</v>
      </c>
      <c r="H24" s="76">
        <v>0</v>
      </c>
      <c r="I24" s="76">
        <v>0</v>
      </c>
      <c r="J24" s="75">
        <v>170111691.94999999</v>
      </c>
      <c r="K24" s="75">
        <v>0</v>
      </c>
      <c r="L24" s="75">
        <v>0</v>
      </c>
      <c r="M24" s="75">
        <v>0</v>
      </c>
      <c r="N24" s="75">
        <v>0</v>
      </c>
      <c r="O24" s="75">
        <v>0</v>
      </c>
      <c r="P24" s="75">
        <v>74994999.700000003</v>
      </c>
      <c r="Q24" s="96">
        <v>95279609.400000006</v>
      </c>
      <c r="R24" s="96">
        <v>24999100.800000001</v>
      </c>
      <c r="S24" s="149">
        <v>74997184.099999994</v>
      </c>
      <c r="T24" s="149">
        <v>99999895.150000006</v>
      </c>
      <c r="U24" s="96">
        <v>0</v>
      </c>
      <c r="V24" s="165">
        <v>0</v>
      </c>
      <c r="W24" s="165">
        <v>25000000</v>
      </c>
      <c r="X24" s="224">
        <v>100000000</v>
      </c>
      <c r="Y24" s="76">
        <v>120000000</v>
      </c>
      <c r="Z24" s="237" t="s">
        <v>131</v>
      </c>
    </row>
    <row r="25" spans="1:26" ht="12">
      <c r="A25" s="238" t="s">
        <v>104</v>
      </c>
      <c r="B25" s="149">
        <v>0</v>
      </c>
      <c r="C25" s="149">
        <v>0</v>
      </c>
      <c r="D25" s="149">
        <v>0</v>
      </c>
      <c r="E25" s="149">
        <v>0</v>
      </c>
      <c r="F25" s="149">
        <v>0</v>
      </c>
      <c r="G25" s="149">
        <v>29724277</v>
      </c>
      <c r="H25" s="149">
        <v>170275723</v>
      </c>
      <c r="I25" s="76">
        <v>0</v>
      </c>
      <c r="J25" s="76">
        <v>501939.59999999404</v>
      </c>
      <c r="K25" s="76">
        <v>179995089.59999999</v>
      </c>
      <c r="L25" s="76">
        <v>169502970.80000001</v>
      </c>
      <c r="M25" s="8">
        <v>81144804</v>
      </c>
      <c r="N25" s="76">
        <v>143854150.80000001</v>
      </c>
      <c r="O25" s="76">
        <v>99995837.400000006</v>
      </c>
      <c r="P25" s="76">
        <v>50000000</v>
      </c>
      <c r="Q25" s="149">
        <v>144649500</v>
      </c>
      <c r="R25" s="149">
        <v>50000000</v>
      </c>
      <c r="S25" s="149">
        <v>0</v>
      </c>
      <c r="T25" s="149">
        <v>0</v>
      </c>
      <c r="U25" s="96">
        <v>0</v>
      </c>
      <c r="V25" s="165">
        <v>0</v>
      </c>
      <c r="W25" s="165">
        <v>0</v>
      </c>
      <c r="X25" s="224">
        <v>0</v>
      </c>
      <c r="Y25" s="76"/>
      <c r="Z25" s="237"/>
    </row>
    <row r="26" spans="1:26" ht="12">
      <c r="A26" s="223" t="s">
        <v>112</v>
      </c>
      <c r="B26" s="96">
        <v>0</v>
      </c>
      <c r="C26" s="96">
        <v>0</v>
      </c>
      <c r="D26" s="96">
        <v>0</v>
      </c>
      <c r="E26" s="96">
        <v>0</v>
      </c>
      <c r="F26" s="96">
        <v>0</v>
      </c>
      <c r="G26" s="149">
        <v>0</v>
      </c>
      <c r="H26" s="76">
        <v>0</v>
      </c>
      <c r="I26" s="76">
        <v>0</v>
      </c>
      <c r="J26" s="76">
        <v>0</v>
      </c>
      <c r="K26" s="76">
        <v>0</v>
      </c>
      <c r="L26" s="76">
        <v>0</v>
      </c>
      <c r="M26" s="76">
        <v>0</v>
      </c>
      <c r="N26" s="75">
        <v>742041688</v>
      </c>
      <c r="O26" s="75">
        <v>796507617.5999999</v>
      </c>
      <c r="P26" s="75">
        <v>1107266939</v>
      </c>
      <c r="Q26" s="149">
        <v>0.30000019073486328</v>
      </c>
      <c r="R26" s="96"/>
      <c r="S26" s="149">
        <v>18660702.037717462</v>
      </c>
      <c r="T26" s="149">
        <v>0</v>
      </c>
      <c r="U26" s="96">
        <v>0</v>
      </c>
      <c r="V26" s="165">
        <v>0</v>
      </c>
      <c r="W26" s="165">
        <v>0</v>
      </c>
      <c r="X26" s="224">
        <v>0</v>
      </c>
      <c r="Y26" s="76">
        <v>0</v>
      </c>
      <c r="Z26" s="237">
        <v>0</v>
      </c>
    </row>
    <row r="27" spans="1:26" ht="12">
      <c r="A27" s="223" t="s">
        <v>113</v>
      </c>
      <c r="B27" s="96">
        <f>'2022 CF'!M35</f>
        <v>61566161.709999993</v>
      </c>
      <c r="C27" s="96">
        <v>7194975.3899999987</v>
      </c>
      <c r="D27" s="96">
        <v>65002648</v>
      </c>
      <c r="E27" s="96">
        <v>25000000.400000006</v>
      </c>
      <c r="F27" s="96">
        <v>140357040</v>
      </c>
      <c r="G27" s="96">
        <v>82005055.920000136</v>
      </c>
      <c r="H27" s="126">
        <v>268187900</v>
      </c>
      <c r="I27" s="126">
        <v>474671500</v>
      </c>
      <c r="J27" s="75">
        <v>514835000</v>
      </c>
      <c r="K27" s="124">
        <v>299926000</v>
      </c>
      <c r="L27" s="124">
        <v>622583000</v>
      </c>
      <c r="M27" s="270">
        <v>347460208</v>
      </c>
      <c r="N27" s="76">
        <v>308292671</v>
      </c>
      <c r="O27" s="75">
        <v>853943988</v>
      </c>
      <c r="P27" s="75">
        <v>520447605</v>
      </c>
      <c r="Q27" s="96">
        <v>146632500.35000002</v>
      </c>
      <c r="R27" s="96">
        <v>236080000</v>
      </c>
      <c r="S27" s="96">
        <v>101327449</v>
      </c>
      <c r="T27" s="149">
        <v>49580000</v>
      </c>
      <c r="U27" s="149">
        <v>95000000</v>
      </c>
      <c r="V27" s="165">
        <v>39592476.549999997</v>
      </c>
      <c r="W27" s="165">
        <v>17850</v>
      </c>
      <c r="X27" s="224">
        <v>0</v>
      </c>
      <c r="Y27" s="165">
        <v>0</v>
      </c>
      <c r="Z27" s="237"/>
    </row>
    <row r="28" spans="1:26" ht="12">
      <c r="A28" s="241" t="s">
        <v>114</v>
      </c>
      <c r="B28" s="1"/>
      <c r="C28" s="1"/>
      <c r="D28" s="1"/>
      <c r="E28" s="1"/>
      <c r="F28" s="1"/>
      <c r="G28" s="1"/>
      <c r="H28" s="1"/>
      <c r="I28" s="1"/>
      <c r="J28" s="76"/>
      <c r="K28" s="1"/>
      <c r="L28" s="1"/>
      <c r="M28" s="1"/>
      <c r="N28" s="1"/>
      <c r="O28" s="1"/>
      <c r="P28" s="1"/>
      <c r="Q28" s="76"/>
      <c r="R28" s="250"/>
      <c r="S28" s="58"/>
      <c r="T28" s="96"/>
      <c r="U28" s="96"/>
      <c r="V28" s="242"/>
      <c r="W28" s="165">
        <v>39677181.549999997</v>
      </c>
      <c r="X28" s="224"/>
      <c r="Y28" s="165"/>
      <c r="Z28" s="237"/>
    </row>
    <row r="29" spans="1:26" ht="12">
      <c r="A29" s="241" t="s">
        <v>115</v>
      </c>
      <c r="B29" s="1"/>
      <c r="C29" s="1"/>
      <c r="D29" s="1"/>
      <c r="E29" s="76"/>
      <c r="F29" s="76"/>
      <c r="G29" s="1"/>
      <c r="H29" s="190"/>
      <c r="I29" s="190"/>
      <c r="J29" s="76"/>
      <c r="K29" s="1"/>
      <c r="L29" s="1"/>
      <c r="M29" s="1"/>
      <c r="N29" s="1"/>
      <c r="O29" s="1"/>
      <c r="P29" s="1"/>
      <c r="Q29" s="76"/>
      <c r="R29" s="250"/>
      <c r="S29" s="4"/>
      <c r="T29" s="75"/>
      <c r="U29" s="165"/>
      <c r="V29" s="165">
        <v>95000000</v>
      </c>
      <c r="W29" s="165">
        <v>98000000</v>
      </c>
      <c r="X29" s="224"/>
      <c r="Y29" s="165"/>
      <c r="Z29" s="239"/>
    </row>
    <row r="30" spans="1:26" ht="12">
      <c r="A30" s="241" t="s">
        <v>116</v>
      </c>
      <c r="B30" s="1"/>
      <c r="C30" s="1"/>
      <c r="D30" s="149"/>
      <c r="E30" s="76"/>
      <c r="F30" s="76"/>
      <c r="G30" s="1"/>
      <c r="H30" s="76"/>
      <c r="I30" s="76"/>
      <c r="J30" s="76"/>
      <c r="K30" s="1"/>
      <c r="L30" s="1"/>
      <c r="M30" s="1"/>
      <c r="N30" s="1"/>
      <c r="O30" s="1"/>
      <c r="P30" s="76"/>
      <c r="Q30" s="76"/>
      <c r="R30" s="250"/>
      <c r="S30" s="1"/>
      <c r="T30" s="76"/>
      <c r="U30" s="76">
        <v>104065280</v>
      </c>
      <c r="V30" s="76">
        <v>170515280</v>
      </c>
      <c r="W30" s="76">
        <v>661780575</v>
      </c>
      <c r="X30" s="225"/>
      <c r="Y30" s="76"/>
      <c r="Z30" s="237"/>
    </row>
    <row r="31" spans="1:26" ht="12">
      <c r="A31" s="241" t="s">
        <v>117</v>
      </c>
      <c r="B31" s="1"/>
      <c r="C31" s="1"/>
      <c r="D31" s="1"/>
      <c r="E31" s="1"/>
      <c r="F31" s="1"/>
      <c r="G31" s="1"/>
      <c r="H31" s="76"/>
      <c r="I31" s="76"/>
      <c r="J31" s="76"/>
      <c r="K31" s="1"/>
      <c r="L31" s="1"/>
      <c r="M31" s="1"/>
      <c r="N31" s="1"/>
      <c r="O31" s="1">
        <v>34.166666666666671</v>
      </c>
      <c r="P31" s="76"/>
      <c r="Q31" s="76"/>
      <c r="R31" s="250"/>
      <c r="S31" s="1"/>
      <c r="T31" s="76">
        <v>101327449</v>
      </c>
      <c r="U31" s="76">
        <v>159331887</v>
      </c>
      <c r="V31" s="76">
        <v>675206449</v>
      </c>
      <c r="W31" s="76"/>
      <c r="X31" s="225">
        <v>385204031</v>
      </c>
      <c r="Y31" s="76">
        <v>192694519</v>
      </c>
      <c r="Z31" s="237">
        <v>63200000</v>
      </c>
    </row>
    <row r="32" spans="1:26" ht="12">
      <c r="A32" s="241" t="s">
        <v>118</v>
      </c>
      <c r="B32" s="1"/>
      <c r="C32" s="1"/>
      <c r="D32" s="250"/>
      <c r="E32" s="1"/>
      <c r="F32" s="1"/>
      <c r="G32" s="1"/>
      <c r="H32" s="190"/>
      <c r="I32" s="190"/>
      <c r="J32" s="76"/>
      <c r="K32" s="76"/>
      <c r="L32" s="1"/>
      <c r="M32" s="1"/>
      <c r="N32" s="1"/>
      <c r="O32" s="1"/>
      <c r="P32" s="76"/>
      <c r="Q32" s="76"/>
      <c r="R32" s="250"/>
      <c r="S32" s="76">
        <v>236080000</v>
      </c>
      <c r="T32" s="76">
        <v>251080000</v>
      </c>
      <c r="U32" s="76">
        <v>444516590.5</v>
      </c>
      <c r="V32" s="76"/>
      <c r="W32" s="76"/>
      <c r="X32" s="225"/>
      <c r="Y32" s="76"/>
      <c r="Z32" s="237"/>
    </row>
    <row r="33" spans="1:26" ht="12">
      <c r="A33" s="241" t="s">
        <v>119</v>
      </c>
      <c r="B33" s="1"/>
      <c r="C33" s="1"/>
      <c r="D33" s="250"/>
      <c r="E33" s="1"/>
      <c r="F33" s="1"/>
      <c r="G33" s="1"/>
      <c r="H33" s="1"/>
      <c r="I33" s="1"/>
      <c r="J33" s="76"/>
      <c r="K33" s="1"/>
      <c r="L33" s="1"/>
      <c r="M33" s="1"/>
      <c r="N33" s="1"/>
      <c r="O33" s="1"/>
      <c r="P33" s="76"/>
      <c r="Q33" s="76"/>
      <c r="R33" s="250">
        <v>134538461.35000002</v>
      </c>
      <c r="S33" s="76">
        <v>270613461.35000002</v>
      </c>
      <c r="T33" s="76">
        <v>376748461.35000002</v>
      </c>
      <c r="U33" s="76"/>
      <c r="V33" s="76"/>
      <c r="W33" s="76"/>
      <c r="X33" s="225"/>
      <c r="Y33" s="76"/>
      <c r="Z33" s="237"/>
    </row>
    <row r="34" spans="1:26" ht="12">
      <c r="A34" s="241" t="s">
        <v>120</v>
      </c>
      <c r="B34" s="1"/>
      <c r="C34" s="1"/>
      <c r="D34" s="1"/>
      <c r="E34" s="1"/>
      <c r="F34" s="1"/>
      <c r="G34" s="1"/>
      <c r="H34" s="76"/>
      <c r="I34" s="76"/>
      <c r="J34" s="76"/>
      <c r="K34" s="1"/>
      <c r="L34" s="1"/>
      <c r="M34" s="1"/>
      <c r="N34" s="1"/>
      <c r="O34" s="1"/>
      <c r="P34" s="76"/>
      <c r="Q34" s="76">
        <v>548608539</v>
      </c>
      <c r="R34" s="250">
        <v>858767293</v>
      </c>
      <c r="S34" s="76">
        <v>1043014493</v>
      </c>
      <c r="T34" s="76"/>
      <c r="U34" s="76"/>
      <c r="V34" s="76"/>
      <c r="W34" s="76"/>
      <c r="X34" s="225"/>
      <c r="Y34" s="76"/>
      <c r="Z34" s="237"/>
    </row>
    <row r="35" spans="1:26" ht="12">
      <c r="A35" s="241" t="s">
        <v>121</v>
      </c>
      <c r="B35" s="1"/>
      <c r="C35" s="1"/>
      <c r="D35" s="1"/>
      <c r="E35" s="1"/>
      <c r="F35" s="1"/>
      <c r="G35" s="1"/>
      <c r="H35" s="76"/>
      <c r="I35" s="76"/>
      <c r="J35" s="76"/>
      <c r="K35" s="76"/>
      <c r="L35" s="1"/>
      <c r="M35" s="1"/>
      <c r="N35" s="1"/>
      <c r="O35" s="1"/>
      <c r="P35" s="76">
        <v>862493038</v>
      </c>
      <c r="Q35" s="76">
        <v>1223285704</v>
      </c>
      <c r="R35" s="250"/>
      <c r="S35" s="76"/>
      <c r="T35" s="76"/>
      <c r="U35" s="76"/>
      <c r="V35" s="76"/>
      <c r="W35" s="76"/>
      <c r="X35" s="225"/>
      <c r="Y35" s="76"/>
      <c r="Z35" s="237"/>
    </row>
    <row r="36" spans="1:26" ht="12">
      <c r="A36" s="241" t="s">
        <v>122</v>
      </c>
      <c r="B36" s="1"/>
      <c r="C36" s="1"/>
      <c r="D36" s="1"/>
      <c r="E36" s="1"/>
      <c r="F36" s="1"/>
      <c r="G36" s="1"/>
      <c r="H36" s="1"/>
      <c r="I36" s="1"/>
      <c r="J36" s="76"/>
      <c r="K36" s="1"/>
      <c r="L36" s="1"/>
      <c r="M36" s="1"/>
      <c r="N36" s="1"/>
      <c r="O36" s="1"/>
      <c r="P36" s="76">
        <v>0</v>
      </c>
      <c r="Q36" s="76">
        <v>0</v>
      </c>
      <c r="R36" s="250">
        <v>448500000</v>
      </c>
      <c r="S36" s="76">
        <v>730000000</v>
      </c>
      <c r="T36" s="76"/>
      <c r="U36" s="76"/>
      <c r="V36" s="76"/>
      <c r="W36" s="76"/>
      <c r="X36" s="225"/>
      <c r="Y36" s="76"/>
      <c r="Z36" s="237"/>
    </row>
    <row r="37" spans="1:26" ht="12">
      <c r="A37" s="241" t="s">
        <v>123</v>
      </c>
      <c r="B37" s="1"/>
      <c r="C37" s="1"/>
      <c r="D37" s="1"/>
      <c r="E37" s="1"/>
      <c r="F37" s="1"/>
      <c r="G37" s="1"/>
      <c r="H37" s="1"/>
      <c r="I37" s="1"/>
      <c r="J37" s="76"/>
      <c r="K37" s="1"/>
      <c r="L37" s="1"/>
      <c r="M37" s="250"/>
      <c r="N37" s="250"/>
      <c r="O37" s="250"/>
      <c r="P37" s="76">
        <v>953632600.45000005</v>
      </c>
      <c r="Q37" s="76"/>
      <c r="R37" s="250"/>
      <c r="S37" s="76"/>
      <c r="T37" s="76"/>
      <c r="U37" s="76"/>
      <c r="V37" s="76"/>
      <c r="W37" s="76"/>
      <c r="X37" s="225"/>
      <c r="Y37" s="76"/>
      <c r="Z37" s="237"/>
    </row>
    <row r="38" spans="1:26" ht="12">
      <c r="A38" s="241" t="s">
        <v>124</v>
      </c>
      <c r="B38" s="1"/>
      <c r="C38" s="1"/>
      <c r="D38" s="1"/>
      <c r="E38" s="1"/>
      <c r="F38" s="1"/>
      <c r="G38" s="76"/>
      <c r="H38" s="76"/>
      <c r="I38" s="1"/>
      <c r="J38" s="76"/>
      <c r="K38" s="76"/>
      <c r="L38" s="1"/>
      <c r="M38" s="76"/>
      <c r="N38" s="76">
        <v>578191224.79999995</v>
      </c>
      <c r="O38" s="250">
        <v>897459162.60000002</v>
      </c>
      <c r="P38" s="76"/>
      <c r="Q38" s="76"/>
      <c r="R38" s="250"/>
      <c r="S38" s="76"/>
      <c r="T38" s="76"/>
      <c r="U38" s="76"/>
      <c r="V38" s="76"/>
      <c r="W38" s="76"/>
      <c r="X38" s="225"/>
      <c r="Y38" s="76"/>
      <c r="Z38" s="237"/>
    </row>
    <row r="39" spans="1:26" ht="12">
      <c r="A39" s="241" t="s">
        <v>125</v>
      </c>
      <c r="B39" s="1"/>
      <c r="C39" s="1"/>
      <c r="D39" s="1"/>
      <c r="E39" s="1"/>
      <c r="F39" s="1"/>
      <c r="G39" s="1"/>
      <c r="H39" s="76"/>
      <c r="I39" s="1"/>
      <c r="J39" s="76"/>
      <c r="M39" s="8">
        <v>640700000</v>
      </c>
      <c r="N39" s="76">
        <v>771171000</v>
      </c>
      <c r="O39" s="250"/>
      <c r="P39" s="76"/>
      <c r="Q39" s="76"/>
      <c r="R39" s="250"/>
      <c r="S39" s="76"/>
      <c r="T39" s="76"/>
      <c r="U39" s="76"/>
      <c r="V39" s="76"/>
      <c r="W39" s="76"/>
      <c r="X39" s="225"/>
      <c r="Y39" s="76"/>
      <c r="Z39" s="237"/>
    </row>
    <row r="40" spans="1:26" ht="12">
      <c r="A40" s="241" t="s">
        <v>126</v>
      </c>
      <c r="B40" s="1"/>
      <c r="C40" s="1"/>
      <c r="D40" s="1"/>
      <c r="E40" s="1"/>
      <c r="F40" s="1"/>
      <c r="G40" s="1"/>
      <c r="H40" s="76"/>
      <c r="I40" s="76"/>
      <c r="J40" s="76"/>
      <c r="K40" s="76"/>
      <c r="L40" s="76">
        <v>299926000</v>
      </c>
      <c r="M40" s="8">
        <v>751412213</v>
      </c>
      <c r="N40" s="76"/>
      <c r="O40" s="250"/>
      <c r="P40" s="76"/>
      <c r="Q40" s="76"/>
      <c r="R40" s="250"/>
      <c r="S40" s="76"/>
      <c r="T40" s="76"/>
      <c r="U40" s="76"/>
      <c r="V40" s="76"/>
      <c r="W40" s="76"/>
      <c r="X40" s="225"/>
      <c r="Y40" s="76"/>
      <c r="Z40" s="237"/>
    </row>
    <row r="41" spans="1:26" ht="12">
      <c r="A41" s="241" t="s">
        <v>127</v>
      </c>
      <c r="B41" s="1"/>
      <c r="C41" s="1"/>
      <c r="D41" s="1"/>
      <c r="E41" s="1"/>
      <c r="F41" s="1"/>
      <c r="G41" s="1"/>
      <c r="H41" s="76"/>
      <c r="I41" s="1"/>
      <c r="J41" s="76"/>
      <c r="K41" s="76">
        <v>792403239.60000002</v>
      </c>
      <c r="L41" s="76">
        <v>1074408329.2</v>
      </c>
      <c r="N41" s="76"/>
      <c r="O41" s="250"/>
      <c r="P41" s="76"/>
      <c r="Q41" s="76"/>
      <c r="R41" s="250"/>
      <c r="S41" s="76"/>
      <c r="T41" s="76"/>
      <c r="U41" s="76"/>
      <c r="V41" s="76"/>
      <c r="W41" s="76"/>
      <c r="X41" s="225"/>
      <c r="Y41" s="76"/>
      <c r="Z41" s="237"/>
    </row>
    <row r="42" spans="1:26" ht="12">
      <c r="A42" s="241" t="s">
        <v>145</v>
      </c>
      <c r="B42" s="1"/>
      <c r="C42" s="1"/>
      <c r="D42" s="1"/>
      <c r="E42" s="1"/>
      <c r="F42" s="1"/>
      <c r="G42" s="1"/>
      <c r="H42" s="1"/>
      <c r="I42" s="1"/>
      <c r="J42" s="76">
        <v>826786500.33000004</v>
      </c>
      <c r="K42" s="76">
        <v>1854310800</v>
      </c>
      <c r="L42" s="9"/>
      <c r="M42" s="8"/>
      <c r="N42" s="76"/>
      <c r="O42" s="250"/>
      <c r="P42" s="76"/>
      <c r="Q42" s="76"/>
      <c r="R42" s="250"/>
      <c r="S42" s="76"/>
      <c r="T42" s="76"/>
      <c r="U42" s="76"/>
      <c r="V42" s="76"/>
      <c r="W42" s="76"/>
      <c r="X42" s="225"/>
      <c r="Y42" s="76"/>
      <c r="Z42" s="237"/>
    </row>
    <row r="43" spans="1:26" ht="12">
      <c r="A43" s="241" t="s">
        <v>147</v>
      </c>
      <c r="B43" s="1"/>
      <c r="C43" s="1"/>
      <c r="D43" s="1"/>
      <c r="E43" s="1"/>
      <c r="F43" s="1"/>
      <c r="G43" s="1"/>
      <c r="H43" s="76"/>
      <c r="I43" s="76">
        <v>356484900</v>
      </c>
      <c r="J43" s="76">
        <v>911328213.44000006</v>
      </c>
      <c r="L43" s="76"/>
      <c r="M43" s="8"/>
      <c r="N43" s="76"/>
      <c r="O43" s="250"/>
      <c r="P43" s="76"/>
      <c r="Q43" s="76"/>
      <c r="R43" s="250"/>
      <c r="S43" s="76"/>
      <c r="T43" s="76"/>
      <c r="U43" s="76"/>
      <c r="V43" s="76"/>
      <c r="W43" s="76"/>
      <c r="X43" s="225"/>
      <c r="Y43" s="76"/>
      <c r="Z43" s="237"/>
    </row>
    <row r="44" spans="1:26" ht="12">
      <c r="A44" s="241" t="s">
        <v>151</v>
      </c>
      <c r="B44" s="1"/>
      <c r="C44" s="1"/>
      <c r="D44" s="1"/>
      <c r="E44" s="1"/>
      <c r="F44" s="1"/>
      <c r="G44" s="76"/>
      <c r="H44" s="76">
        <v>127037484.27000013</v>
      </c>
      <c r="I44" s="76">
        <v>858175818.78999996</v>
      </c>
      <c r="K44" s="76"/>
      <c r="L44" s="76"/>
      <c r="M44" s="8"/>
      <c r="N44" s="76"/>
      <c r="O44" s="250"/>
      <c r="P44" s="76"/>
      <c r="Q44" s="76"/>
      <c r="R44" s="250"/>
      <c r="S44" s="76"/>
      <c r="T44" s="76"/>
      <c r="U44" s="76"/>
      <c r="V44" s="76"/>
      <c r="W44" s="76"/>
      <c r="X44" s="225"/>
      <c r="Y44" s="76"/>
      <c r="Z44" s="237"/>
    </row>
    <row r="45" spans="1:26" ht="12">
      <c r="A45" s="241" t="s">
        <v>162</v>
      </c>
      <c r="B45" s="1"/>
      <c r="C45" s="1"/>
      <c r="D45" s="1"/>
      <c r="E45" s="76"/>
      <c r="F45" s="76"/>
      <c r="G45" s="76">
        <v>295907040</v>
      </c>
      <c r="H45" s="76">
        <v>767572009.92449999</v>
      </c>
      <c r="J45" s="76"/>
      <c r="K45" s="76"/>
      <c r="L45" s="76"/>
      <c r="M45" s="8"/>
      <c r="N45" s="76"/>
      <c r="O45" s="250"/>
      <c r="P45" s="76"/>
      <c r="Q45" s="76"/>
      <c r="R45" s="250"/>
      <c r="S45" s="76"/>
      <c r="T45" s="76"/>
      <c r="U45" s="76"/>
      <c r="V45" s="76"/>
      <c r="W45" s="76"/>
      <c r="X45" s="225"/>
      <c r="Y45" s="76"/>
      <c r="Z45" s="237"/>
    </row>
    <row r="46" spans="1:26" ht="12">
      <c r="A46" s="241" t="s">
        <v>159</v>
      </c>
      <c r="B46" s="1"/>
      <c r="C46" s="1"/>
      <c r="D46" s="1"/>
      <c r="E46" s="250"/>
      <c r="F46" s="250">
        <v>101136362.40000001</v>
      </c>
      <c r="G46" s="76">
        <v>837424700.89999998</v>
      </c>
      <c r="H46" s="76"/>
      <c r="I46" s="76"/>
      <c r="J46" s="76"/>
      <c r="K46" s="76"/>
      <c r="L46" s="76"/>
      <c r="M46" s="8"/>
      <c r="N46" s="76"/>
      <c r="O46" s="250"/>
      <c r="P46" s="76"/>
      <c r="Q46" s="76"/>
      <c r="R46" s="250"/>
      <c r="S46" s="76"/>
      <c r="T46" s="76"/>
      <c r="U46" s="76"/>
      <c r="V46" s="76"/>
      <c r="W46" s="76"/>
      <c r="X46" s="225"/>
      <c r="Y46" s="76"/>
      <c r="Z46" s="237"/>
    </row>
    <row r="47" spans="1:26" ht="12">
      <c r="A47" s="241" t="s">
        <v>170</v>
      </c>
      <c r="B47" s="1"/>
      <c r="C47" s="1"/>
      <c r="D47" s="83"/>
      <c r="E47" s="76">
        <v>155457648</v>
      </c>
      <c r="F47" s="76">
        <v>828605297</v>
      </c>
      <c r="G47" s="76"/>
      <c r="H47" s="76"/>
      <c r="I47" s="76"/>
      <c r="J47" s="76"/>
      <c r="K47" s="76"/>
      <c r="L47" s="76"/>
      <c r="M47" s="8"/>
      <c r="N47" s="76"/>
      <c r="O47" s="250"/>
      <c r="P47" s="76"/>
      <c r="Q47" s="76"/>
      <c r="R47" s="250"/>
      <c r="S47" s="76"/>
      <c r="T47" s="76"/>
      <c r="U47" s="76"/>
      <c r="V47" s="76"/>
      <c r="W47" s="76"/>
      <c r="X47" s="225"/>
      <c r="Y47" s="76"/>
      <c r="Z47" s="237"/>
    </row>
    <row r="48" spans="1:26" ht="12">
      <c r="A48" s="241" t="s">
        <v>238</v>
      </c>
      <c r="B48" s="1"/>
      <c r="C48" s="1"/>
      <c r="D48" s="83">
        <v>72896025.790000007</v>
      </c>
      <c r="E48" s="76">
        <v>672137983.49000001</v>
      </c>
      <c r="F48" s="76"/>
      <c r="G48" s="76"/>
      <c r="H48" s="76"/>
      <c r="I48" s="76"/>
      <c r="J48" s="76"/>
      <c r="K48" s="76"/>
      <c r="L48" s="76"/>
      <c r="M48" s="8"/>
      <c r="N48" s="76"/>
      <c r="O48" s="250"/>
      <c r="P48" s="76"/>
      <c r="Q48" s="76"/>
      <c r="R48" s="250"/>
      <c r="S48" s="76"/>
      <c r="T48" s="76"/>
      <c r="U48" s="76"/>
      <c r="V48" s="76"/>
      <c r="W48" s="76"/>
      <c r="X48" s="225"/>
      <c r="Y48" s="76"/>
      <c r="Z48" s="237"/>
    </row>
    <row r="49" spans="1:26" ht="12">
      <c r="A49" s="241" t="s">
        <v>263</v>
      </c>
      <c r="B49" s="9"/>
      <c r="C49" s="9">
        <v>96566161.709999993</v>
      </c>
      <c r="D49" s="83">
        <v>315590198.31</v>
      </c>
      <c r="E49" s="76"/>
      <c r="F49" s="76"/>
      <c r="G49" s="76"/>
      <c r="H49" s="76"/>
      <c r="I49" s="76"/>
      <c r="J49" s="76"/>
      <c r="K49" s="76"/>
      <c r="L49" s="76"/>
      <c r="M49" s="8"/>
      <c r="N49" s="76"/>
      <c r="O49" s="250"/>
      <c r="P49" s="76"/>
      <c r="Q49" s="76"/>
      <c r="R49" s="250"/>
      <c r="S49" s="76"/>
      <c r="T49" s="76"/>
      <c r="U49" s="76"/>
      <c r="V49" s="76"/>
      <c r="W49" s="76"/>
      <c r="X49" s="225"/>
      <c r="Y49" s="76"/>
      <c r="Z49" s="237"/>
    </row>
    <row r="50" spans="1:26" ht="12">
      <c r="A50" s="241" t="s">
        <v>326</v>
      </c>
      <c r="B50" s="9">
        <f>'2023 CF'!M46</f>
        <v>326416202.79999971</v>
      </c>
      <c r="C50" s="9">
        <v>1040101500.4799997</v>
      </c>
      <c r="D50" s="83"/>
      <c r="E50" s="76"/>
      <c r="F50" s="76"/>
      <c r="G50" s="76"/>
      <c r="H50" s="76"/>
      <c r="I50" s="76"/>
      <c r="J50" s="76"/>
      <c r="K50" s="76"/>
      <c r="L50" s="76"/>
      <c r="M50" s="8"/>
      <c r="N50" s="76"/>
      <c r="O50" s="250"/>
      <c r="P50" s="76"/>
      <c r="Q50" s="76"/>
      <c r="R50" s="250"/>
      <c r="S50" s="76"/>
      <c r="T50" s="76"/>
      <c r="U50" s="76"/>
      <c r="V50" s="76"/>
      <c r="W50" s="76"/>
      <c r="X50" s="225"/>
      <c r="Y50" s="76"/>
      <c r="Z50" s="237"/>
    </row>
    <row r="51" spans="1:26" ht="12">
      <c r="A51" s="241" t="s">
        <v>619</v>
      </c>
      <c r="B51" s="9">
        <f>'2024 CF'!M107</f>
        <v>1045638064</v>
      </c>
      <c r="C51" s="9"/>
      <c r="D51" s="83"/>
      <c r="E51" s="76"/>
      <c r="F51" s="76"/>
      <c r="G51" s="76"/>
      <c r="H51" s="76"/>
      <c r="I51" s="76"/>
      <c r="J51" s="76"/>
      <c r="K51" s="76"/>
      <c r="L51" s="76"/>
      <c r="M51" s="8"/>
      <c r="N51" s="76"/>
      <c r="O51" s="250"/>
      <c r="P51" s="76"/>
      <c r="Q51" s="76"/>
      <c r="R51" s="250"/>
      <c r="S51" s="76"/>
      <c r="T51" s="76"/>
      <c r="U51" s="76"/>
      <c r="V51" s="76"/>
      <c r="W51" s="76"/>
      <c r="X51" s="225"/>
      <c r="Y51" s="76"/>
      <c r="Z51" s="237"/>
    </row>
    <row r="52" spans="1:26" ht="12">
      <c r="A52" s="241" t="s">
        <v>128</v>
      </c>
      <c r="B52" s="76"/>
      <c r="C52" s="76">
        <v>2606528034.8699999</v>
      </c>
      <c r="D52" s="83">
        <v>2403738397.4299998</v>
      </c>
      <c r="E52" s="76">
        <v>1873319179.1600001</v>
      </c>
      <c r="F52" s="76">
        <v>1756580668</v>
      </c>
      <c r="G52" s="76">
        <v>1844727688.3000002</v>
      </c>
      <c r="H52" s="76">
        <v>2481381410.8499999</v>
      </c>
      <c r="I52" s="76">
        <v>2644975579</v>
      </c>
      <c r="J52" s="76">
        <v>1571292238.1500001</v>
      </c>
      <c r="K52" s="76">
        <v>2201486119.4400001</v>
      </c>
      <c r="L52" s="76">
        <v>2440169300</v>
      </c>
      <c r="M52" s="8">
        <v>2373598300</v>
      </c>
      <c r="N52" s="76">
        <v>1282771000</v>
      </c>
      <c r="O52" s="250">
        <v>951896000</v>
      </c>
      <c r="P52" s="76">
        <v>1135180000</v>
      </c>
      <c r="Q52" s="76">
        <v>1528909710.3000002</v>
      </c>
      <c r="R52" s="250">
        <v>1734920489.2</v>
      </c>
      <c r="S52" s="76"/>
      <c r="T52" s="76"/>
      <c r="U52" s="76"/>
      <c r="V52" s="76"/>
      <c r="W52" s="76"/>
      <c r="X52" s="225"/>
      <c r="Y52" s="76"/>
      <c r="Z52" s="237"/>
    </row>
    <row r="53" spans="1:26" ht="12">
      <c r="A53" s="241"/>
      <c r="B53" s="76">
        <f>SUM(B8:B52)</f>
        <v>4002129013.8099999</v>
      </c>
      <c r="C53" s="76">
        <v>6605137246.5299997</v>
      </c>
      <c r="D53" s="76">
        <v>6304463450.6499996</v>
      </c>
      <c r="E53" s="76">
        <v>5934395837.3999996</v>
      </c>
      <c r="F53" s="76">
        <v>6207742918.8999996</v>
      </c>
      <c r="G53" s="76">
        <v>6420558409.0945005</v>
      </c>
      <c r="H53" s="76">
        <v>6873330023.3945007</v>
      </c>
      <c r="I53" s="76">
        <v>6281389530.1499996</v>
      </c>
      <c r="J53" s="76">
        <v>7634459758.04</v>
      </c>
      <c r="K53" s="9">
        <v>6561415028.2000008</v>
      </c>
      <c r="L53" s="9">
        <v>6459406313</v>
      </c>
      <c r="M53" s="8">
        <v>5276952525</v>
      </c>
      <c r="N53" s="76">
        <v>4717858331.6000004</v>
      </c>
      <c r="O53" s="76">
        <v>5390400333.6000004</v>
      </c>
      <c r="P53" s="76">
        <v>5789638391.1499996</v>
      </c>
      <c r="Q53" s="76">
        <v>5407133423.6500006</v>
      </c>
      <c r="R53" s="250">
        <v>4469135614.3500004</v>
      </c>
      <c r="S53" s="76">
        <v>2761268210.4877172</v>
      </c>
      <c r="T53" s="76">
        <v>2705835313</v>
      </c>
      <c r="U53" s="76">
        <v>2769519169</v>
      </c>
      <c r="V53" s="76">
        <v>2598659516.5500002</v>
      </c>
      <c r="W53" s="76">
        <v>2154684751.5500002</v>
      </c>
      <c r="X53" s="225">
        <v>1826186494</v>
      </c>
      <c r="Y53" s="76">
        <v>1662576350</v>
      </c>
      <c r="Z53" s="237">
        <v>1322304905</v>
      </c>
    </row>
    <row r="54" spans="1:26" ht="12.6" thickBot="1">
      <c r="A54" s="243"/>
      <c r="B54" s="383"/>
      <c r="C54" s="383"/>
      <c r="D54" s="383"/>
      <c r="E54" s="342"/>
      <c r="F54" s="342"/>
      <c r="G54" s="244"/>
      <c r="H54" s="244"/>
      <c r="I54" s="244">
        <v>0.99999999971821518</v>
      </c>
      <c r="J54" s="244"/>
      <c r="K54" s="244"/>
      <c r="L54" s="244"/>
      <c r="M54" s="244"/>
      <c r="N54" s="244"/>
      <c r="O54" s="244"/>
      <c r="P54" s="244"/>
      <c r="Q54" s="244"/>
      <c r="R54" s="244"/>
      <c r="S54" s="244"/>
      <c r="T54" s="244"/>
      <c r="U54" s="244"/>
      <c r="V54" s="244"/>
      <c r="W54" s="244"/>
      <c r="X54" s="245"/>
      <c r="Y54" s="246"/>
      <c r="Z54" s="247"/>
    </row>
    <row r="55" spans="1:26" ht="13.2">
      <c r="A55" s="1"/>
      <c r="B55" s="1"/>
      <c r="C55" s="1"/>
      <c r="D55" s="1"/>
      <c r="E55" s="1"/>
      <c r="F55" s="1"/>
      <c r="G55" s="1">
        <v>0.9999999998520378</v>
      </c>
      <c r="H55" s="1">
        <v>1.0000000000879488</v>
      </c>
      <c r="I55" s="1"/>
      <c r="J55" s="1"/>
      <c r="K55" s="83">
        <v>4848200159.04</v>
      </c>
      <c r="L55" s="1"/>
      <c r="M55" s="1"/>
      <c r="N55" s="1"/>
      <c r="O55">
        <v>653270937.39999998</v>
      </c>
      <c r="P55" s="248"/>
      <c r="Q55" s="76"/>
      <c r="R55" s="76"/>
      <c r="S55" s="76"/>
      <c r="T55">
        <v>1621413093.6500001</v>
      </c>
      <c r="U55" s="76"/>
      <c r="V55" s="143"/>
      <c r="W55" s="143"/>
      <c r="Z55" s="249"/>
    </row>
    <row r="56" spans="1:26" ht="12">
      <c r="A56" t="s">
        <v>10</v>
      </c>
      <c r="K56" s="248"/>
      <c r="L56">
        <v>2440169300</v>
      </c>
      <c r="M56">
        <v>2373598300</v>
      </c>
      <c r="N56">
        <v>2024812688</v>
      </c>
      <c r="O56" s="76"/>
      <c r="P56" s="248"/>
      <c r="Q56" s="248">
        <v>1528909710.3000002</v>
      </c>
      <c r="R56">
        <v>1734920489.2</v>
      </c>
      <c r="S56" s="76">
        <v>18660702.037717462</v>
      </c>
      <c r="T56" s="76"/>
      <c r="U56">
        <v>1384280849.5</v>
      </c>
    </row>
    <row r="57" spans="1:26" ht="12">
      <c r="A57" s="1" t="s">
        <v>132</v>
      </c>
      <c r="B57" s="1"/>
      <c r="C57" s="1"/>
      <c r="D57" s="1"/>
      <c r="E57" s="167">
        <v>1374754330.8399999</v>
      </c>
      <c r="F57" s="1">
        <v>1473102822</v>
      </c>
      <c r="G57" s="1">
        <v>1199839816.7</v>
      </c>
      <c r="H57" s="1">
        <v>532312314.14999998</v>
      </c>
      <c r="I57" s="1">
        <v>327007000</v>
      </c>
      <c r="J57" s="1">
        <v>1214967360.8499999</v>
      </c>
      <c r="K57" s="1">
        <v>545425279.55999994</v>
      </c>
      <c r="L57" s="76">
        <v>255526500</v>
      </c>
      <c r="M57" s="76">
        <v>271221000</v>
      </c>
      <c r="N57" s="76">
        <v>450811597</v>
      </c>
      <c r="O57">
        <v>690691078</v>
      </c>
      <c r="P57" s="248">
        <v>246387499.69999999</v>
      </c>
      <c r="Q57" s="76">
        <v>701497469.69999993</v>
      </c>
      <c r="R57" s="76">
        <v>454507170.80000001</v>
      </c>
      <c r="S57" s="76">
        <v>970197105.10000002</v>
      </c>
      <c r="T57">
        <v>1998161555</v>
      </c>
      <c r="U57" s="76">
        <v>1828797440</v>
      </c>
      <c r="V57" s="143">
        <v>1799201760</v>
      </c>
      <c r="W57" s="143">
        <v>1919439720</v>
      </c>
      <c r="X57">
        <v>1670078156</v>
      </c>
    </row>
    <row r="58" spans="1:26" ht="12">
      <c r="A58" s="1" t="s">
        <v>133</v>
      </c>
      <c r="B58" s="1"/>
      <c r="C58" s="1"/>
      <c r="D58" s="1"/>
      <c r="E58" s="167">
        <v>1833726695.51</v>
      </c>
      <c r="F58" s="76">
        <v>1907960729.5</v>
      </c>
      <c r="G58" s="76">
        <v>2160654107.2744999</v>
      </c>
      <c r="H58" s="76">
        <v>2665474904.2000003</v>
      </c>
      <c r="I58" s="76">
        <v>1620074732.3600001</v>
      </c>
      <c r="J58" s="76">
        <v>2595250445.27</v>
      </c>
      <c r="K58" s="76">
        <v>867863589.60000002</v>
      </c>
      <c r="L58" s="76">
        <v>1766793183.8</v>
      </c>
      <c r="M58" s="76">
        <v>892560804</v>
      </c>
      <c r="N58" s="76">
        <v>584579150.79999995</v>
      </c>
      <c r="O58" s="76">
        <v>653270937.39999998</v>
      </c>
      <c r="P58" s="76">
        <v>964230709</v>
      </c>
      <c r="Q58" s="76">
        <v>859699500</v>
      </c>
      <c r="R58" s="76">
        <v>320322200</v>
      </c>
      <c r="S58" s="76"/>
      <c r="T58" s="76"/>
      <c r="U58" s="76"/>
      <c r="V58" s="76"/>
      <c r="W58" s="76"/>
      <c r="X58" s="76"/>
    </row>
    <row r="59" spans="1:26" ht="12">
      <c r="A59" s="1" t="s">
        <v>134</v>
      </c>
      <c r="B59" s="1"/>
      <c r="C59" s="1"/>
      <c r="D59" s="1"/>
      <c r="E59" s="167"/>
      <c r="F59" s="76"/>
      <c r="G59" s="76"/>
      <c r="H59" s="76"/>
      <c r="I59" s="76"/>
      <c r="J59" s="76"/>
      <c r="K59" s="76"/>
      <c r="L59" s="76"/>
      <c r="M59" s="76"/>
      <c r="N59" s="76"/>
      <c r="O59" s="76"/>
      <c r="P59" s="76"/>
      <c r="Q59" s="76">
        <v>398500000</v>
      </c>
      <c r="R59" s="76">
        <v>281500000</v>
      </c>
      <c r="S59" s="76"/>
      <c r="U59" s="76"/>
      <c r="V59" s="76"/>
      <c r="W59" s="76"/>
      <c r="X59" s="76"/>
    </row>
    <row r="60" spans="1:26" ht="12">
      <c r="A60" s="1" t="s">
        <v>135</v>
      </c>
      <c r="B60" s="1"/>
      <c r="C60" s="1"/>
      <c r="D60" s="1"/>
      <c r="E60" s="167">
        <v>1873319179.1600001</v>
      </c>
      <c r="F60" s="1">
        <v>1756580668</v>
      </c>
      <c r="G60" s="1">
        <v>1844727688.3</v>
      </c>
      <c r="H60" s="76"/>
      <c r="I60" s="1"/>
      <c r="J60" s="1"/>
      <c r="K60" s="1"/>
      <c r="L60" s="1"/>
      <c r="M60" s="1"/>
      <c r="N60" s="1"/>
      <c r="O60">
        <v>1444090712.5999999</v>
      </c>
      <c r="P60" s="248">
        <v>1382940643</v>
      </c>
      <c r="Q60" s="76">
        <v>1918526743.3499999</v>
      </c>
      <c r="R60" s="76">
        <v>1677885754.3499999</v>
      </c>
      <c r="S60" s="76">
        <v>1772410403.3499999</v>
      </c>
      <c r="T60">
        <v>707673758</v>
      </c>
      <c r="U60" s="76">
        <v>940721729</v>
      </c>
      <c r="V60" s="76">
        <v>799457756.54999995</v>
      </c>
      <c r="W60" s="76">
        <v>235245031.55000001</v>
      </c>
      <c r="X60" s="76">
        <v>156108338</v>
      </c>
    </row>
    <row r="61" spans="1:26" ht="12">
      <c r="A61" s="1"/>
      <c r="B61" s="1"/>
      <c r="C61" s="1"/>
      <c r="D61" s="1"/>
      <c r="E61" s="167"/>
      <c r="F61" s="140"/>
      <c r="G61" s="140"/>
      <c r="H61" s="1"/>
      <c r="I61" s="1"/>
      <c r="J61" s="1"/>
      <c r="K61" s="1"/>
      <c r="L61" s="1"/>
      <c r="M61" s="1"/>
      <c r="N61" s="1"/>
      <c r="O61" s="250"/>
      <c r="P61" s="76"/>
      <c r="Q61" s="76">
        <v>5407133423.3500004</v>
      </c>
      <c r="R61" s="76">
        <v>4469135614.3500004</v>
      </c>
      <c r="S61" s="76">
        <v>2761268210.4877176</v>
      </c>
      <c r="T61" s="76">
        <v>2705835313</v>
      </c>
      <c r="U61" s="76">
        <v>2769519169</v>
      </c>
      <c r="V61" s="76">
        <v>2598659516.5500002</v>
      </c>
      <c r="W61" s="76">
        <v>2154684751.5500002</v>
      </c>
      <c r="X61" s="76">
        <v>1826186494</v>
      </c>
    </row>
    <row r="62" spans="1:26" ht="12">
      <c r="E62" s="258"/>
      <c r="P62" s="248"/>
      <c r="Q62" s="76"/>
      <c r="R62" s="81"/>
      <c r="S62" s="81"/>
      <c r="T62" s="81"/>
      <c r="U62" s="81"/>
      <c r="V62" s="81"/>
      <c r="W62" s="81"/>
      <c r="X62" s="81"/>
    </row>
    <row r="63" spans="1:26">
      <c r="A63" t="s">
        <v>136</v>
      </c>
      <c r="E63" s="258">
        <v>3208481026.3499999</v>
      </c>
      <c r="F63">
        <v>3381063551.5</v>
      </c>
      <c r="G63" s="248"/>
      <c r="J63">
        <v>3810217806.1199999</v>
      </c>
      <c r="M63" s="248"/>
      <c r="N63" s="248"/>
      <c r="O63">
        <v>1343962015.4000001</v>
      </c>
      <c r="P63" s="248">
        <v>1210618208.7</v>
      </c>
      <c r="Q63" s="248">
        <v>1959696969.6999998</v>
      </c>
      <c r="S63">
        <v>0.47748921283094414</v>
      </c>
      <c r="T63">
        <v>1</v>
      </c>
      <c r="U63">
        <v>1</v>
      </c>
    </row>
    <row r="64" spans="1:26" ht="12">
      <c r="A64" s="1"/>
      <c r="B64" s="1"/>
      <c r="C64" s="1"/>
      <c r="D64" s="1"/>
      <c r="E64" s="76"/>
      <c r="F64" s="76"/>
      <c r="G64" s="1"/>
      <c r="H64" s="1"/>
      <c r="I64" s="1"/>
      <c r="J64" s="76"/>
      <c r="K64" s="1"/>
      <c r="L64" s="1"/>
      <c r="M64" s="1"/>
      <c r="N64" s="1"/>
      <c r="O64" s="76">
        <v>533175100</v>
      </c>
      <c r="P64" s="76"/>
      <c r="Q64" s="76"/>
      <c r="S64" s="251">
        <v>2.4307701250055427</v>
      </c>
      <c r="T64" s="251">
        <v>0.999660976358409</v>
      </c>
      <c r="U64" s="143">
        <v>1</v>
      </c>
    </row>
    <row r="65" spans="1:26" ht="12">
      <c r="J65">
        <v>-1.4901161193847656E-7</v>
      </c>
      <c r="O65" s="76"/>
      <c r="S65" s="251">
        <v>1.000086924188901</v>
      </c>
      <c r="T65" s="251">
        <v>0.9999113108571327</v>
      </c>
      <c r="U65" s="143">
        <v>1</v>
      </c>
      <c r="Y65" s="252"/>
    </row>
    <row r="66" spans="1:26" ht="12">
      <c r="G66" s="197"/>
      <c r="H66" s="197"/>
      <c r="I66" s="197">
        <v>1</v>
      </c>
      <c r="J66" s="248"/>
      <c r="K66">
        <v>0.82037716162898355</v>
      </c>
      <c r="S66" s="253"/>
      <c r="T66" s="253"/>
      <c r="U66" s="254"/>
      <c r="Y66" s="255"/>
    </row>
    <row r="67" spans="1:26" ht="12">
      <c r="A67" t="s">
        <v>137</v>
      </c>
      <c r="G67">
        <v>0</v>
      </c>
      <c r="H67">
        <v>0</v>
      </c>
      <c r="I67">
        <v>0.76999998092651367</v>
      </c>
      <c r="J67">
        <v>0.9999997615814209</v>
      </c>
      <c r="Y67" s="256"/>
    </row>
    <row r="68" spans="1:26" ht="12">
      <c r="A68" s="1" t="s">
        <v>138</v>
      </c>
      <c r="B68" s="1"/>
      <c r="C68" s="1"/>
      <c r="D68" s="1"/>
      <c r="E68" s="1"/>
      <c r="F68" s="1"/>
      <c r="G68" s="83">
        <v>0.94999992847442627</v>
      </c>
      <c r="H68" s="83">
        <v>-0.6045001745223999</v>
      </c>
      <c r="I68" s="83"/>
      <c r="J68" s="76">
        <v>-8.9406967163085938E-8</v>
      </c>
      <c r="K68" s="76"/>
      <c r="L68" s="250"/>
      <c r="M68" s="250"/>
      <c r="N68" s="250"/>
      <c r="O68" s="250"/>
      <c r="P68" s="250"/>
      <c r="Q68" s="250"/>
      <c r="R68" s="250"/>
      <c r="S68" s="250"/>
      <c r="T68" s="250"/>
      <c r="U68" s="250"/>
      <c r="Y68" s="255"/>
    </row>
    <row r="69" spans="1:26" ht="12">
      <c r="A69" s="1"/>
      <c r="B69" s="1"/>
      <c r="C69" s="1"/>
      <c r="D69" s="1"/>
      <c r="E69" s="1"/>
      <c r="F69" s="1"/>
      <c r="G69" s="76"/>
      <c r="H69" s="250"/>
      <c r="I69" s="250"/>
      <c r="J69" s="76"/>
      <c r="K69" s="76"/>
      <c r="L69" s="76"/>
      <c r="M69" s="250"/>
      <c r="N69" s="250"/>
      <c r="O69" s="250"/>
      <c r="P69" s="250"/>
      <c r="Q69" s="250"/>
      <c r="R69" s="250"/>
      <c r="S69" s="250"/>
      <c r="T69" s="250"/>
      <c r="U69" s="250"/>
      <c r="Y69" s="1"/>
    </row>
    <row r="70" spans="1:26">
      <c r="L70" s="248"/>
    </row>
    <row r="71" spans="1:26">
      <c r="J71">
        <v>2017</v>
      </c>
      <c r="K71">
        <v>2016</v>
      </c>
      <c r="L71" s="257">
        <v>2015</v>
      </c>
      <c r="M71" s="258">
        <v>2014</v>
      </c>
      <c r="N71" s="258">
        <v>2013</v>
      </c>
      <c r="O71">
        <v>2012</v>
      </c>
      <c r="P71">
        <v>2011</v>
      </c>
      <c r="Q71">
        <v>2010</v>
      </c>
      <c r="R71">
        <v>2009</v>
      </c>
      <c r="S71">
        <v>2008</v>
      </c>
      <c r="T71">
        <v>2007</v>
      </c>
      <c r="U71">
        <v>2006</v>
      </c>
      <c r="V71">
        <v>2005</v>
      </c>
      <c r="W71">
        <v>2004</v>
      </c>
      <c r="X71">
        <v>2003</v>
      </c>
      <c r="Y71" t="s">
        <v>129</v>
      </c>
      <c r="Z71" t="s">
        <v>130</v>
      </c>
    </row>
    <row r="72" spans="1:26">
      <c r="A72" t="s">
        <v>56</v>
      </c>
      <c r="J72" s="211">
        <v>3029932174.5700002</v>
      </c>
      <c r="K72" s="211">
        <v>310068279.56</v>
      </c>
      <c r="L72" s="211">
        <v>1282090213</v>
      </c>
      <c r="M72" s="211">
        <v>726532000</v>
      </c>
      <c r="N72" s="211">
        <v>675757940</v>
      </c>
      <c r="O72" s="211">
        <v>762006178</v>
      </c>
      <c r="P72" s="211">
        <v>917248209</v>
      </c>
      <c r="Q72" s="211">
        <v>399142544</v>
      </c>
      <c r="R72" s="211">
        <v>326297020</v>
      </c>
      <c r="S72" s="211">
        <v>134240000</v>
      </c>
      <c r="T72" s="211">
        <v>627287536.5</v>
      </c>
      <c r="U72" s="211">
        <v>618272849.5</v>
      </c>
      <c r="V72" s="211">
        <v>273345311</v>
      </c>
      <c r="W72" s="211">
        <v>352404145</v>
      </c>
      <c r="X72" s="211">
        <v>271521463</v>
      </c>
      <c r="Y72" s="211">
        <v>453396662</v>
      </c>
      <c r="Z72" s="211">
        <v>418475905</v>
      </c>
    </row>
    <row r="73" spans="1:26" ht="12">
      <c r="A73" s="1" t="s">
        <v>57</v>
      </c>
      <c r="B73" s="1"/>
      <c r="C73" s="1"/>
      <c r="D73" s="1"/>
      <c r="E73" s="1"/>
      <c r="F73" s="1"/>
      <c r="G73" s="1"/>
      <c r="H73" s="1"/>
      <c r="I73" s="1"/>
      <c r="J73" s="248"/>
      <c r="K73" s="248"/>
      <c r="L73" s="248"/>
      <c r="M73" s="248"/>
      <c r="N73" s="248"/>
      <c r="O73" s="76">
        <v>99995837.400000006</v>
      </c>
      <c r="P73" s="76">
        <v>124994999.7</v>
      </c>
      <c r="Q73" s="76">
        <v>95279609.400000006</v>
      </c>
      <c r="R73" s="76">
        <v>24999100.800000001</v>
      </c>
      <c r="S73" s="76">
        <v>74997184.099999994</v>
      </c>
      <c r="T73" s="76">
        <v>99999895.150000006</v>
      </c>
      <c r="U73" s="76">
        <v>0</v>
      </c>
      <c r="V73" s="76">
        <v>0</v>
      </c>
      <c r="W73" s="76">
        <v>25000000</v>
      </c>
      <c r="X73" s="76">
        <v>100000000</v>
      </c>
      <c r="Y73" s="76">
        <v>120000000</v>
      </c>
      <c r="Z73" s="76">
        <v>0</v>
      </c>
    </row>
    <row r="74" spans="1:26" ht="12">
      <c r="A74" s="1" t="s">
        <v>58</v>
      </c>
      <c r="B74" s="1"/>
      <c r="C74" s="1"/>
      <c r="D74" s="1"/>
      <c r="E74" s="1"/>
      <c r="F74" s="1"/>
      <c r="G74" s="1"/>
      <c r="H74" s="1"/>
      <c r="I74" s="1"/>
      <c r="J74" s="1"/>
      <c r="K74" s="1"/>
      <c r="L74" s="1"/>
      <c r="M74" s="1"/>
      <c r="N74" s="1"/>
      <c r="O74" s="76">
        <v>10000000</v>
      </c>
      <c r="P74" s="76">
        <v>13300000</v>
      </c>
      <c r="Q74" s="76">
        <v>3440000</v>
      </c>
      <c r="R74" s="76">
        <v>16043250</v>
      </c>
      <c r="S74" s="76">
        <v>40869207</v>
      </c>
      <c r="T74" s="76">
        <v>19402500</v>
      </c>
      <c r="U74" s="76">
        <v>0</v>
      </c>
      <c r="V74" s="76">
        <v>7225000</v>
      </c>
      <c r="W74" s="76">
        <v>10000000</v>
      </c>
      <c r="X74" s="76">
        <v>3700000</v>
      </c>
      <c r="Y74" s="76">
        <v>0</v>
      </c>
      <c r="Z74" s="76">
        <v>0</v>
      </c>
    </row>
    <row r="75" spans="1:26" ht="12">
      <c r="A75" s="1" t="s">
        <v>59</v>
      </c>
      <c r="B75" s="1"/>
      <c r="C75" s="1"/>
      <c r="D75" s="1"/>
      <c r="E75" s="1"/>
      <c r="F75" s="1"/>
      <c r="G75" s="1"/>
      <c r="H75" s="1"/>
      <c r="I75" s="1"/>
      <c r="J75" s="1">
        <v>601072000</v>
      </c>
      <c r="K75" s="1">
        <v>578830500</v>
      </c>
      <c r="L75" s="1">
        <v>497506500</v>
      </c>
      <c r="M75" s="1">
        <v>197095000</v>
      </c>
      <c r="N75" s="1">
        <v>173205000</v>
      </c>
      <c r="O75" s="76">
        <v>110425000</v>
      </c>
      <c r="P75" s="76">
        <v>69875000</v>
      </c>
      <c r="Q75" s="76">
        <v>36325000</v>
      </c>
      <c r="R75" s="76">
        <v>28690000</v>
      </c>
      <c r="S75" s="76">
        <v>124665714</v>
      </c>
      <c r="T75" s="76">
        <v>368269000</v>
      </c>
      <c r="U75" s="76">
        <v>431337562</v>
      </c>
      <c r="V75" s="76">
        <v>537100000</v>
      </c>
      <c r="W75" s="76">
        <v>482250000</v>
      </c>
      <c r="X75" s="76">
        <v>512176000</v>
      </c>
      <c r="Y75" s="76">
        <v>365185169</v>
      </c>
      <c r="Z75" s="76">
        <v>319584000</v>
      </c>
    </row>
    <row r="76" spans="1:26" ht="12">
      <c r="A76" s="1" t="s">
        <v>60</v>
      </c>
      <c r="B76" s="1"/>
      <c r="C76" s="1"/>
      <c r="D76" s="1"/>
      <c r="E76" s="1"/>
      <c r="F76" s="1"/>
      <c r="G76" s="1"/>
      <c r="H76" s="1"/>
      <c r="I76" s="1"/>
      <c r="J76" s="76"/>
      <c r="K76" s="76"/>
      <c r="L76" s="76"/>
      <c r="M76" s="76"/>
      <c r="N76" s="76"/>
      <c r="O76" s="76">
        <v>0</v>
      </c>
      <c r="P76" s="76">
        <v>0</v>
      </c>
      <c r="Q76" s="76">
        <v>293850000</v>
      </c>
      <c r="R76" s="76">
        <v>0</v>
      </c>
      <c r="S76" s="76">
        <v>58500000</v>
      </c>
      <c r="T76" s="76">
        <v>240405000</v>
      </c>
      <c r="U76" s="76">
        <v>191945000</v>
      </c>
      <c r="V76" s="76">
        <v>656050000</v>
      </c>
      <c r="W76" s="76">
        <v>296200000</v>
      </c>
      <c r="X76" s="76">
        <v>140000000</v>
      </c>
      <c r="Y76" s="76">
        <v>139500000</v>
      </c>
      <c r="Z76" s="76">
        <v>136840000</v>
      </c>
    </row>
    <row r="77" spans="1:26" ht="12">
      <c r="A77" s="1" t="s">
        <v>61</v>
      </c>
      <c r="B77" s="1"/>
      <c r="C77" s="1"/>
      <c r="D77" s="1"/>
      <c r="E77" s="1"/>
      <c r="F77" s="1"/>
      <c r="G77" s="1"/>
      <c r="H77" s="1"/>
      <c r="I77" s="1"/>
      <c r="J77" s="1"/>
      <c r="K77" s="1"/>
      <c r="L77" s="1"/>
      <c r="M77" s="1"/>
      <c r="N77" s="1"/>
      <c r="O77" s="76">
        <v>361535000</v>
      </c>
      <c r="P77" s="76">
        <v>85200000</v>
      </c>
      <c r="Q77" s="76">
        <v>588510316.29999995</v>
      </c>
      <c r="R77" s="76">
        <v>358800000</v>
      </c>
      <c r="S77" s="76">
        <v>658300000</v>
      </c>
      <c r="T77" s="76">
        <v>571735471</v>
      </c>
      <c r="U77" s="76">
        <v>725050000</v>
      </c>
      <c r="V77" s="76">
        <v>144625000</v>
      </c>
      <c r="W77" s="76">
        <v>189355000</v>
      </c>
      <c r="X77" s="76">
        <v>413585000</v>
      </c>
      <c r="Y77" s="76">
        <v>391800000</v>
      </c>
      <c r="Z77" s="76">
        <v>384205000</v>
      </c>
    </row>
    <row r="78" spans="1:26" ht="12">
      <c r="A78" s="1" t="s">
        <v>139</v>
      </c>
      <c r="B78" s="1"/>
      <c r="C78" s="1"/>
      <c r="D78" s="1"/>
      <c r="E78" s="1"/>
      <c r="F78" s="1"/>
      <c r="G78" s="1"/>
      <c r="H78" s="1"/>
      <c r="I78" s="1"/>
      <c r="J78" s="1"/>
      <c r="K78" s="1"/>
      <c r="L78" s="1"/>
      <c r="M78" s="1"/>
      <c r="N78" s="1"/>
      <c r="O78" s="76">
        <v>853943988</v>
      </c>
      <c r="P78" s="76">
        <v>520447605</v>
      </c>
      <c r="Q78" s="76">
        <v>146632500.35000002</v>
      </c>
      <c r="R78" s="76">
        <v>236080000</v>
      </c>
      <c r="S78" s="76">
        <v>101327449</v>
      </c>
      <c r="T78" s="76">
        <v>49580000</v>
      </c>
      <c r="U78" s="76">
        <v>95000000</v>
      </c>
      <c r="V78" s="76">
        <v>39592476.549999997</v>
      </c>
      <c r="W78" s="76">
        <v>17850</v>
      </c>
      <c r="X78" s="76">
        <v>0</v>
      </c>
      <c r="Y78" s="76">
        <v>0</v>
      </c>
      <c r="Z78" s="76">
        <v>0</v>
      </c>
    </row>
    <row r="79" spans="1:26" ht="12">
      <c r="A79" s="1"/>
      <c r="B79" s="1"/>
      <c r="C79" s="1"/>
      <c r="D79" s="1"/>
      <c r="E79" s="1"/>
      <c r="F79" s="1"/>
      <c r="G79" s="1"/>
      <c r="H79" s="1"/>
      <c r="I79" s="1"/>
      <c r="J79" s="1"/>
      <c r="K79" s="1"/>
      <c r="L79" s="1"/>
      <c r="M79" s="1"/>
      <c r="N79" s="1"/>
      <c r="O79" s="76">
        <v>2395986712.5999999</v>
      </c>
      <c r="P79" s="76">
        <v>2088812600.45</v>
      </c>
      <c r="Q79" s="76">
        <v>1563179970.0499997</v>
      </c>
      <c r="R79" s="76">
        <v>990909370.79999995</v>
      </c>
      <c r="S79" s="76">
        <v>1192899554.0999999</v>
      </c>
      <c r="T79" s="76">
        <v>1976679402.6500001</v>
      </c>
      <c r="U79" s="76">
        <v>2061605411.5</v>
      </c>
      <c r="V79" s="76">
        <v>1657937787.55</v>
      </c>
      <c r="W79" s="76">
        <v>1355226995</v>
      </c>
      <c r="X79" s="76">
        <v>1440982463</v>
      </c>
      <c r="Y79" s="76">
        <v>1469881831</v>
      </c>
      <c r="Z79" s="76">
        <v>1259104905</v>
      </c>
    </row>
    <row r="80" spans="1:26" ht="12">
      <c r="K80">
        <v>4848200159.04</v>
      </c>
      <c r="O80" s="250"/>
      <c r="P80" s="250"/>
      <c r="Q80" s="76">
        <v>3092089680.3499999</v>
      </c>
      <c r="R80" s="76"/>
      <c r="S80" s="76"/>
      <c r="T80" s="76"/>
      <c r="U80" s="76"/>
      <c r="V80" s="76"/>
      <c r="W80" s="76"/>
      <c r="X80" s="76"/>
      <c r="Y80" s="76"/>
      <c r="Z80" s="76"/>
    </row>
    <row r="81" spans="1:22" ht="12">
      <c r="K81" s="248"/>
      <c r="Q81" s="83"/>
    </row>
    <row r="82" spans="1:22">
      <c r="A82" t="s">
        <v>140</v>
      </c>
    </row>
    <row r="83" spans="1:22" ht="12">
      <c r="A83" s="1" t="s">
        <v>56</v>
      </c>
      <c r="B83" s="1"/>
      <c r="C83" s="1"/>
      <c r="D83" s="1"/>
      <c r="E83" s="1"/>
      <c r="F83" s="1"/>
      <c r="G83" s="1"/>
      <c r="H83" s="1"/>
      <c r="I83" s="1"/>
      <c r="J83" s="1"/>
      <c r="K83" s="1"/>
      <c r="L83" s="1"/>
      <c r="M83" s="1"/>
      <c r="N83" s="1"/>
      <c r="O83">
        <v>228831078</v>
      </c>
      <c r="P83">
        <v>105842500</v>
      </c>
      <c r="Q83">
        <v>66142544</v>
      </c>
      <c r="R83">
        <v>54664820</v>
      </c>
      <c r="S83">
        <v>99000000</v>
      </c>
    </row>
    <row r="84" spans="1:22" ht="12">
      <c r="A84" s="1" t="s">
        <v>57</v>
      </c>
      <c r="B84" s="1"/>
      <c r="C84" s="1"/>
      <c r="D84" s="1"/>
      <c r="E84" s="1"/>
      <c r="F84" s="1"/>
      <c r="G84" s="1"/>
      <c r="H84" s="1"/>
      <c r="I84" s="1"/>
      <c r="J84" s="1"/>
      <c r="K84" s="1"/>
      <c r="L84" s="1"/>
      <c r="M84" s="1"/>
      <c r="N84" s="1"/>
      <c r="O84" s="83">
        <v>0</v>
      </c>
      <c r="P84" s="83">
        <v>74994999.700000003</v>
      </c>
      <c r="Q84" s="83">
        <v>95279609.400000006</v>
      </c>
      <c r="R84" s="83">
        <v>24999100.800000001</v>
      </c>
      <c r="S84" s="83">
        <v>74997184.099999994</v>
      </c>
    </row>
    <row r="85" spans="1:22" ht="12">
      <c r="A85" s="1" t="s">
        <v>58</v>
      </c>
      <c r="B85" s="1"/>
      <c r="C85" s="1"/>
      <c r="D85" s="1"/>
      <c r="E85" s="1"/>
      <c r="F85" s="1"/>
      <c r="G85" s="1"/>
      <c r="H85" s="1"/>
      <c r="I85" s="1"/>
      <c r="J85" s="1"/>
      <c r="K85" s="1"/>
      <c r="L85" s="1"/>
      <c r="M85" s="1"/>
      <c r="N85" s="1"/>
      <c r="O85" s="250">
        <v>10000000</v>
      </c>
      <c r="P85" s="250">
        <v>13300000</v>
      </c>
      <c r="Q85" s="250">
        <v>3440000</v>
      </c>
      <c r="R85" s="250">
        <v>16043250</v>
      </c>
      <c r="S85" s="250">
        <v>40869207</v>
      </c>
    </row>
    <row r="86" spans="1:22" ht="12">
      <c r="A86" s="1" t="s">
        <v>59</v>
      </c>
      <c r="B86" s="1"/>
      <c r="C86" s="1"/>
      <c r="D86" s="1"/>
      <c r="E86" s="1"/>
      <c r="F86" s="1"/>
      <c r="G86" s="1"/>
      <c r="H86" s="1"/>
      <c r="I86" s="1"/>
      <c r="J86" s="1"/>
      <c r="K86" s="1"/>
      <c r="L86" s="1"/>
      <c r="M86" s="1"/>
      <c r="N86" s="1"/>
      <c r="O86" s="250">
        <v>90325000</v>
      </c>
      <c r="P86" s="250">
        <v>7250000</v>
      </c>
      <c r="Q86" s="250">
        <v>5275000</v>
      </c>
      <c r="R86" s="250">
        <v>0</v>
      </c>
      <c r="S86" s="250">
        <v>38530714</v>
      </c>
    </row>
    <row r="87" spans="1:22" ht="12">
      <c r="A87" s="1" t="s">
        <v>60</v>
      </c>
      <c r="B87" s="1"/>
      <c r="C87" s="1"/>
      <c r="D87" s="1"/>
      <c r="E87" s="1"/>
      <c r="F87" s="1"/>
      <c r="G87" s="1"/>
      <c r="H87" s="1"/>
      <c r="I87" s="1"/>
      <c r="J87" s="1"/>
      <c r="K87" s="1"/>
      <c r="L87" s="1"/>
      <c r="M87" s="1"/>
      <c r="N87" s="1"/>
      <c r="O87" s="250">
        <v>0</v>
      </c>
      <c r="P87" s="250">
        <v>0</v>
      </c>
      <c r="Q87" s="250">
        <v>85850000</v>
      </c>
      <c r="R87" s="250">
        <v>0</v>
      </c>
      <c r="S87" s="250">
        <v>58500000</v>
      </c>
    </row>
    <row r="88" spans="1:22" ht="12">
      <c r="A88" s="1" t="s">
        <v>61</v>
      </c>
      <c r="B88" s="1"/>
      <c r="C88" s="1"/>
      <c r="D88" s="1"/>
      <c r="E88" s="1"/>
      <c r="F88" s="1"/>
      <c r="G88" s="1"/>
      <c r="H88" s="1"/>
      <c r="I88" s="1"/>
      <c r="J88" s="1"/>
      <c r="K88" s="1"/>
      <c r="L88" s="1"/>
      <c r="M88" s="1"/>
      <c r="N88" s="1"/>
      <c r="O88" s="250">
        <v>361535000</v>
      </c>
      <c r="P88" s="250">
        <v>45000000</v>
      </c>
      <c r="Q88" s="250">
        <v>445510316.30000001</v>
      </c>
      <c r="R88" s="250">
        <v>358800000</v>
      </c>
      <c r="S88" s="250">
        <v>658300000</v>
      </c>
    </row>
    <row r="89" spans="1:22" ht="12">
      <c r="A89" s="1" t="s">
        <v>77</v>
      </c>
      <c r="B89" s="1"/>
      <c r="C89" s="1"/>
      <c r="D89" s="1"/>
      <c r="E89" s="1"/>
      <c r="F89" s="1"/>
      <c r="G89" s="1"/>
      <c r="H89" s="1"/>
      <c r="I89" s="1"/>
      <c r="J89" s="1"/>
      <c r="K89" s="1"/>
      <c r="L89" s="1"/>
      <c r="M89" s="1"/>
      <c r="N89" s="1"/>
      <c r="O89" s="250">
        <v>951896000</v>
      </c>
      <c r="P89" s="250">
        <v>1135180000</v>
      </c>
      <c r="Q89" s="250">
        <v>1528909710.3000002</v>
      </c>
      <c r="R89" s="250">
        <v>1734920489.2</v>
      </c>
      <c r="S89" s="250">
        <v>1043014493</v>
      </c>
    </row>
    <row r="90" spans="1:22" ht="12">
      <c r="A90" s="1"/>
      <c r="B90" s="1"/>
      <c r="C90" s="1"/>
      <c r="D90" s="1"/>
      <c r="E90" s="1"/>
      <c r="F90" s="1"/>
      <c r="G90" s="1"/>
      <c r="H90" s="1"/>
      <c r="I90" s="1"/>
      <c r="J90" s="1"/>
      <c r="K90" s="1"/>
      <c r="L90" s="1"/>
      <c r="M90" s="1"/>
      <c r="N90" s="1"/>
      <c r="O90" s="250"/>
      <c r="P90" s="250">
        <v>1381567499.7</v>
      </c>
      <c r="Q90" s="250">
        <v>2230407180</v>
      </c>
      <c r="R90" s="250">
        <v>2189427660</v>
      </c>
      <c r="S90" s="250">
        <v>2013211598.0999999</v>
      </c>
    </row>
    <row r="91" spans="1:22" ht="12">
      <c r="P91" s="83"/>
      <c r="Q91" s="83"/>
      <c r="R91" s="83"/>
      <c r="S91" s="83"/>
    </row>
    <row r="92" spans="1:22">
      <c r="P92">
        <v>-1007260795.3</v>
      </c>
      <c r="Q92">
        <v>0</v>
      </c>
      <c r="R92">
        <v>0</v>
      </c>
      <c r="S92">
        <v>-18660701.900000095</v>
      </c>
    </row>
    <row r="93" spans="1:22" ht="12">
      <c r="P93" s="83"/>
      <c r="Q93" s="83"/>
      <c r="R93" s="83"/>
      <c r="S93" s="83"/>
    </row>
    <row r="95" spans="1:22">
      <c r="J95">
        <v>4325052806.1199999</v>
      </c>
      <c r="K95">
        <v>1713214869.1599998</v>
      </c>
      <c r="L95">
        <v>2644902683.8000002</v>
      </c>
      <c r="M95">
        <v>1511242012</v>
      </c>
      <c r="N95">
        <v>2085725106.8</v>
      </c>
      <c r="O95">
        <v>2994413621</v>
      </c>
      <c r="P95">
        <v>2838332752.6999998</v>
      </c>
      <c r="Q95">
        <v>2106329470.3500004</v>
      </c>
      <c r="R95">
        <v>1292409370.8</v>
      </c>
      <c r="S95">
        <v>1211560256.1377172</v>
      </c>
      <c r="T95">
        <v>1976679402.6500001</v>
      </c>
      <c r="U95">
        <v>2061605411.5</v>
      </c>
      <c r="V95">
        <v>1657937787.55</v>
      </c>
    </row>
    <row r="96" spans="1:22">
      <c r="J96" s="248">
        <v>22723182948.867718</v>
      </c>
      <c r="K96" s="248">
        <v>20374809545.39772</v>
      </c>
      <c r="L96" s="248"/>
      <c r="M96" s="248"/>
      <c r="N96" s="248"/>
      <c r="O96" s="248"/>
      <c r="P96" s="248"/>
      <c r="Q96" s="248"/>
      <c r="R96" s="248"/>
      <c r="S96" s="248"/>
      <c r="T96" s="248"/>
      <c r="U96" s="248"/>
      <c r="V96" s="248"/>
    </row>
    <row r="97" spans="1:11">
      <c r="J97" s="248"/>
      <c r="K97" s="248"/>
    </row>
    <row r="98" spans="1:11">
      <c r="A98" t="s">
        <v>175</v>
      </c>
      <c r="G98">
        <v>82005055.920000136</v>
      </c>
    </row>
    <row r="99" spans="1:11">
      <c r="A99" t="s">
        <v>176</v>
      </c>
      <c r="G99" s="248">
        <v>2160654107.2744999</v>
      </c>
    </row>
    <row r="100" spans="1:11">
      <c r="A100" t="s">
        <v>177</v>
      </c>
      <c r="G100" s="248">
        <v>1133331740.9000001</v>
      </c>
    </row>
    <row r="101" spans="1:11">
      <c r="A101" t="s">
        <v>178</v>
      </c>
      <c r="G101" s="248">
        <v>1748704688</v>
      </c>
    </row>
    <row r="102" spans="1:11">
      <c r="A102" t="s">
        <v>179</v>
      </c>
      <c r="G102" s="248">
        <v>96023000.300000072</v>
      </c>
    </row>
    <row r="103" spans="1:11">
      <c r="A103" t="s">
        <v>180</v>
      </c>
      <c r="G103" s="303">
        <v>1844727688.3000002</v>
      </c>
    </row>
    <row r="104" spans="1:11">
      <c r="A104" t="s">
        <v>181</v>
      </c>
      <c r="G104" s="248">
        <v>1199839816.7</v>
      </c>
    </row>
    <row r="105" spans="1:11">
      <c r="G105" s="248"/>
    </row>
    <row r="106" spans="1:11">
      <c r="A106" t="s">
        <v>182</v>
      </c>
      <c r="G106">
        <v>3044567505</v>
      </c>
    </row>
    <row r="107" spans="1:11">
      <c r="A107" t="s">
        <v>183</v>
      </c>
      <c r="G107" s="304">
        <v>6420558409.0944996</v>
      </c>
    </row>
    <row r="108" spans="1:11">
      <c r="G108" s="304"/>
    </row>
  </sheetData>
  <phoneticPr fontId="3" type="noConversion"/>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9F26-206D-4EAD-9D63-C0C08CFEF9BD}">
  <sheetPr codeName="Sheet7"/>
  <dimension ref="A1:U59"/>
  <sheetViews>
    <sheetView topLeftCell="A6" zoomScaleNormal="100" workbookViewId="0">
      <selection activeCell="H37" sqref="H37"/>
    </sheetView>
  </sheetViews>
  <sheetFormatPr defaultColWidth="9" defaultRowHeight="12"/>
  <cols>
    <col min="1" max="1" width="8.375" style="1" customWidth="1"/>
    <col min="2" max="2" width="6.625" style="1" bestFit="1" customWidth="1"/>
    <col min="3" max="3" width="9.25" style="1" bestFit="1" customWidth="1"/>
    <col min="4" max="4" width="13.25" style="1" bestFit="1" customWidth="1"/>
    <col min="5" max="5" width="32" style="1" bestFit="1" customWidth="1"/>
    <col min="6" max="6" width="46.375" style="1" customWidth="1"/>
    <col min="7" max="7" width="15.625" style="1" customWidth="1"/>
    <col min="8" max="8" width="16.375" style="1" customWidth="1"/>
    <col min="9" max="9" width="14" style="1" bestFit="1" customWidth="1"/>
    <col min="10" max="10" width="16.25" style="1" customWidth="1"/>
    <col min="11" max="11" width="15.75" style="1" bestFit="1" customWidth="1"/>
    <col min="12" max="12" width="14.25" style="3" customWidth="1"/>
    <col min="13" max="13" width="9.875" style="3" bestFit="1" customWidth="1"/>
    <col min="14" max="14" width="15.75" style="1" bestFit="1" customWidth="1"/>
    <col min="15" max="15" width="9.875" style="3" bestFit="1" customWidth="1"/>
    <col min="16" max="16" width="13.75" style="1" bestFit="1" customWidth="1"/>
    <col min="17" max="17" width="15.125" style="1" bestFit="1" customWidth="1"/>
    <col min="18" max="18" width="9.75" style="1" customWidth="1"/>
    <col min="19" max="19" width="9.125" style="13" bestFit="1" customWidth="1"/>
    <col min="20" max="20" width="41.625" style="1" bestFit="1" customWidth="1"/>
    <col min="21" max="21" width="34.375" style="1" bestFit="1" customWidth="1"/>
    <col min="22" max="16384" width="9" style="1"/>
  </cols>
  <sheetData>
    <row r="1" spans="1:21">
      <c r="A1" s="319">
        <v>43326</v>
      </c>
      <c r="B1" s="319"/>
      <c r="C1" s="319"/>
      <c r="D1" s="314"/>
      <c r="E1" s="454">
        <f>'SC1 MRB'!H34+'SC2 State Voted'!H14+'SC3 Small Issue IDBs'!H14+'SC4 TSAHC'!H15+'SC4 MF- TDHCA'!H25+'SC4 MF- Local Collapse'!H66+'SC5 OTHER'!H111</f>
        <v>810621609.25000024</v>
      </c>
      <c r="F1" s="18"/>
      <c r="G1" s="18"/>
      <c r="H1" s="315"/>
      <c r="I1" s="315"/>
      <c r="J1" s="315"/>
      <c r="K1" s="19"/>
      <c r="L1" s="22"/>
      <c r="M1" s="359"/>
      <c r="N1" s="21"/>
      <c r="O1" s="22"/>
      <c r="P1" s="19"/>
      <c r="Q1" s="19"/>
      <c r="R1" s="6"/>
      <c r="S1" s="17"/>
      <c r="T1" s="284"/>
    </row>
    <row r="2" spans="1:21">
      <c r="A2" s="48" t="s">
        <v>184</v>
      </c>
      <c r="B2" s="48"/>
      <c r="C2" s="48"/>
      <c r="D2" s="5"/>
      <c r="E2" s="26"/>
      <c r="F2" s="26"/>
      <c r="G2" s="26"/>
      <c r="H2" s="316"/>
      <c r="I2" s="316"/>
      <c r="J2" s="316"/>
      <c r="K2" s="27"/>
      <c r="L2" s="11"/>
      <c r="M2" s="360"/>
      <c r="N2" s="36"/>
      <c r="O2" s="11"/>
      <c r="P2" s="27"/>
      <c r="Q2" s="27"/>
      <c r="R2" s="6"/>
      <c r="S2" s="5"/>
      <c r="T2" s="285"/>
    </row>
    <row r="3" spans="1:21">
      <c r="C3" s="48"/>
      <c r="D3" s="5"/>
      <c r="E3" s="26"/>
      <c r="F3" s="26"/>
      <c r="G3" s="26"/>
      <c r="H3" s="316"/>
      <c r="I3" s="316"/>
      <c r="J3" s="316"/>
      <c r="K3" s="27"/>
      <c r="L3" s="11"/>
      <c r="M3" s="11"/>
      <c r="N3" s="27"/>
      <c r="O3" s="11"/>
      <c r="P3" s="27"/>
      <c r="Q3" s="27"/>
      <c r="R3" s="6"/>
      <c r="S3" s="1"/>
      <c r="T3" s="286"/>
    </row>
    <row r="4" spans="1:21">
      <c r="A4" s="31" t="s">
        <v>206</v>
      </c>
      <c r="B4" s="5" t="s">
        <v>208</v>
      </c>
      <c r="C4" s="5" t="s">
        <v>32</v>
      </c>
      <c r="D4" s="5" t="s">
        <v>37</v>
      </c>
      <c r="E4" s="5" t="s">
        <v>31</v>
      </c>
      <c r="F4" s="5" t="s">
        <v>49</v>
      </c>
      <c r="G4" s="5" t="s">
        <v>45</v>
      </c>
      <c r="H4" s="259" t="s">
        <v>23</v>
      </c>
      <c r="I4" s="115" t="s">
        <v>38</v>
      </c>
      <c r="J4" s="73" t="s">
        <v>51</v>
      </c>
      <c r="K4" s="32" t="s">
        <v>8</v>
      </c>
      <c r="L4" s="6" t="s">
        <v>14</v>
      </c>
      <c r="M4" s="6" t="s">
        <v>34</v>
      </c>
      <c r="N4" s="32" t="s">
        <v>4</v>
      </c>
      <c r="O4" s="6" t="s">
        <v>185</v>
      </c>
      <c r="P4" s="32" t="s">
        <v>27</v>
      </c>
      <c r="Q4" s="32" t="s">
        <v>44</v>
      </c>
      <c r="R4" s="6" t="s">
        <v>22</v>
      </c>
      <c r="S4" s="5" t="s">
        <v>172</v>
      </c>
      <c r="T4" s="30" t="s">
        <v>286</v>
      </c>
    </row>
    <row r="5" spans="1:21">
      <c r="A5" s="31" t="s">
        <v>207</v>
      </c>
      <c r="B5" s="5" t="s">
        <v>207</v>
      </c>
      <c r="C5" s="5" t="s">
        <v>48</v>
      </c>
      <c r="D5" s="13"/>
      <c r="E5" s="5"/>
      <c r="F5" s="26"/>
      <c r="G5" s="26"/>
      <c r="H5" s="259" t="s">
        <v>42</v>
      </c>
      <c r="I5" s="115" t="s">
        <v>46</v>
      </c>
      <c r="J5" s="73" t="s">
        <v>42</v>
      </c>
      <c r="K5" s="32" t="s">
        <v>42</v>
      </c>
      <c r="L5" s="6" t="s">
        <v>9</v>
      </c>
      <c r="M5" s="6" t="s">
        <v>18</v>
      </c>
      <c r="N5" s="32" t="s">
        <v>42</v>
      </c>
      <c r="O5" s="6" t="s">
        <v>18</v>
      </c>
      <c r="P5" s="32" t="s">
        <v>42</v>
      </c>
      <c r="Q5" s="32" t="s">
        <v>42</v>
      </c>
      <c r="R5" s="6" t="s">
        <v>5</v>
      </c>
      <c r="S5" s="5" t="s">
        <v>171</v>
      </c>
      <c r="T5" s="30" t="s">
        <v>287</v>
      </c>
    </row>
    <row r="6" spans="1:21" ht="12.6" thickBot="1">
      <c r="A6" s="38"/>
      <c r="B6" s="38"/>
      <c r="C6" s="33" t="s">
        <v>173</v>
      </c>
      <c r="D6" s="38"/>
      <c r="E6" s="33"/>
      <c r="F6" s="39"/>
      <c r="G6" s="39"/>
      <c r="H6" s="317"/>
      <c r="I6" s="317"/>
      <c r="J6" s="317"/>
      <c r="K6" s="55"/>
      <c r="L6" s="40"/>
      <c r="M6" s="40"/>
      <c r="N6" s="55"/>
      <c r="O6" s="40"/>
      <c r="P6" s="55"/>
      <c r="Q6" s="55"/>
      <c r="R6" s="55" t="s">
        <v>9</v>
      </c>
      <c r="S6" s="38"/>
      <c r="T6" s="382" t="s">
        <v>9</v>
      </c>
    </row>
    <row r="7" spans="1:21" s="5" customFormat="1" ht="11.4">
      <c r="A7" s="5" t="s">
        <v>146</v>
      </c>
      <c r="B7" s="5" t="s">
        <v>146</v>
      </c>
      <c r="C7" s="5">
        <v>5436</v>
      </c>
      <c r="D7" s="5" t="s">
        <v>625</v>
      </c>
      <c r="E7" s="5" t="s">
        <v>269</v>
      </c>
      <c r="F7" s="26" t="s">
        <v>496</v>
      </c>
      <c r="G7" s="26" t="s">
        <v>497</v>
      </c>
      <c r="H7" s="347">
        <v>50000000</v>
      </c>
      <c r="I7" s="347" t="s">
        <v>146</v>
      </c>
      <c r="J7" s="52">
        <f>H7</f>
        <v>50000000</v>
      </c>
      <c r="K7" s="52">
        <f>J7</f>
        <v>50000000</v>
      </c>
      <c r="L7" s="544">
        <v>44422</v>
      </c>
      <c r="M7" s="544">
        <f>L7+35</f>
        <v>44457</v>
      </c>
      <c r="N7" s="347">
        <v>50000000</v>
      </c>
      <c r="O7" s="544">
        <f>L7+180</f>
        <v>44602</v>
      </c>
      <c r="P7" s="423"/>
      <c r="R7" s="142"/>
      <c r="S7" s="5" t="s">
        <v>272</v>
      </c>
    </row>
    <row r="8" spans="1:21" s="13" customFormat="1">
      <c r="A8" s="13" t="s">
        <v>146</v>
      </c>
      <c r="B8" s="13" t="s">
        <v>146</v>
      </c>
      <c r="C8" s="13" t="s">
        <v>751</v>
      </c>
      <c r="D8" s="13" t="s">
        <v>390</v>
      </c>
      <c r="E8" s="13" t="s">
        <v>97</v>
      </c>
      <c r="F8" s="36" t="s">
        <v>752</v>
      </c>
      <c r="G8" s="36" t="s">
        <v>95</v>
      </c>
      <c r="H8" s="288">
        <v>0</v>
      </c>
      <c r="I8" s="288" t="s">
        <v>146</v>
      </c>
      <c r="J8" s="10">
        <f t="shared" ref="J8:J16" si="0">H8</f>
        <v>0</v>
      </c>
      <c r="K8" s="11"/>
      <c r="L8" s="356"/>
      <c r="M8" s="356"/>
      <c r="N8" s="288"/>
      <c r="O8" s="356"/>
      <c r="P8" s="11"/>
      <c r="R8" s="93"/>
      <c r="S8" s="13" t="s">
        <v>264</v>
      </c>
      <c r="T8" s="43" t="s">
        <v>819</v>
      </c>
    </row>
    <row r="9" spans="1:21" s="13" customFormat="1">
      <c r="A9" s="13" t="s">
        <v>146</v>
      </c>
      <c r="B9" s="13" t="s">
        <v>146</v>
      </c>
      <c r="C9" s="13">
        <v>5437</v>
      </c>
      <c r="D9" s="13" t="s">
        <v>77</v>
      </c>
      <c r="E9" s="13" t="s">
        <v>487</v>
      </c>
      <c r="F9" s="36" t="s">
        <v>490</v>
      </c>
      <c r="G9" s="36" t="s">
        <v>489</v>
      </c>
      <c r="H9" s="288">
        <v>18000000</v>
      </c>
      <c r="I9" s="288" t="s">
        <v>146</v>
      </c>
      <c r="J9" s="10">
        <f t="shared" si="0"/>
        <v>18000000</v>
      </c>
      <c r="K9" s="10">
        <f>J9</f>
        <v>18000000</v>
      </c>
      <c r="L9" s="356">
        <v>44428</v>
      </c>
      <c r="M9" s="356">
        <f>L9+35</f>
        <v>44463</v>
      </c>
      <c r="N9" s="288">
        <v>18000000</v>
      </c>
      <c r="O9" s="356">
        <f>L9+180</f>
        <v>44608</v>
      </c>
      <c r="P9" s="12"/>
      <c r="R9" s="93"/>
      <c r="S9" s="13" t="s">
        <v>241</v>
      </c>
      <c r="T9" s="546" t="s">
        <v>820</v>
      </c>
    </row>
    <row r="10" spans="1:21" s="5" customFormat="1" ht="11.4">
      <c r="A10" s="5" t="s">
        <v>146</v>
      </c>
      <c r="B10" s="5" t="s">
        <v>146</v>
      </c>
      <c r="C10" s="5">
        <v>5438</v>
      </c>
      <c r="D10" s="5" t="s">
        <v>625</v>
      </c>
      <c r="E10" s="5" t="s">
        <v>757</v>
      </c>
      <c r="F10" s="26" t="s">
        <v>821</v>
      </c>
      <c r="G10" s="26" t="s">
        <v>759</v>
      </c>
      <c r="H10" s="347">
        <v>22000000</v>
      </c>
      <c r="I10" s="347" t="s">
        <v>146</v>
      </c>
      <c r="J10" s="52">
        <f t="shared" si="0"/>
        <v>22000000</v>
      </c>
      <c r="K10" s="52">
        <f t="shared" ref="K10:K12" si="1">J10</f>
        <v>22000000</v>
      </c>
      <c r="L10" s="544">
        <v>44428</v>
      </c>
      <c r="M10" s="544">
        <f t="shared" ref="M10:M13" si="2">L10+35</f>
        <v>44463</v>
      </c>
      <c r="N10" s="347">
        <v>22000000</v>
      </c>
      <c r="O10" s="544">
        <f t="shared" ref="O10:O13" si="3">L10+180</f>
        <v>44608</v>
      </c>
      <c r="P10" s="548"/>
      <c r="R10" s="142"/>
      <c r="S10" s="5" t="s">
        <v>272</v>
      </c>
    </row>
    <row r="11" spans="1:21" s="13" customFormat="1">
      <c r="A11" s="13" t="s">
        <v>146</v>
      </c>
      <c r="B11" s="13" t="s">
        <v>146</v>
      </c>
      <c r="C11" s="13">
        <v>5439</v>
      </c>
      <c r="D11" s="13" t="s">
        <v>391</v>
      </c>
      <c r="E11" s="13" t="s">
        <v>265</v>
      </c>
      <c r="F11" s="36" t="s">
        <v>454</v>
      </c>
      <c r="G11" s="36" t="s">
        <v>211</v>
      </c>
      <c r="H11" s="288">
        <v>25000000</v>
      </c>
      <c r="I11" s="288" t="s">
        <v>146</v>
      </c>
      <c r="J11" s="10">
        <f t="shared" si="0"/>
        <v>25000000</v>
      </c>
      <c r="K11" s="10">
        <f t="shared" si="1"/>
        <v>25000000</v>
      </c>
      <c r="L11" s="356">
        <v>44428</v>
      </c>
      <c r="M11" s="356">
        <f t="shared" si="2"/>
        <v>44463</v>
      </c>
      <c r="N11" s="288">
        <v>25000000</v>
      </c>
      <c r="O11" s="356">
        <f t="shared" si="3"/>
        <v>44608</v>
      </c>
      <c r="P11" s="288">
        <v>20500000</v>
      </c>
      <c r="Q11" s="288">
        <f>N11-P11</f>
        <v>4500000</v>
      </c>
      <c r="R11" s="93">
        <v>44490</v>
      </c>
      <c r="S11" s="13" t="s">
        <v>272</v>
      </c>
    </row>
    <row r="12" spans="1:21" s="5" customFormat="1" ht="11.4">
      <c r="A12" s="5" t="s">
        <v>146</v>
      </c>
      <c r="B12" s="5" t="s">
        <v>146</v>
      </c>
      <c r="C12" s="5">
        <v>5440</v>
      </c>
      <c r="D12" s="5" t="s">
        <v>625</v>
      </c>
      <c r="E12" s="5" t="s">
        <v>218</v>
      </c>
      <c r="F12" s="26" t="s">
        <v>512</v>
      </c>
      <c r="G12" s="26" t="s">
        <v>80</v>
      </c>
      <c r="H12" s="350">
        <v>27000000</v>
      </c>
      <c r="I12" s="347" t="s">
        <v>146</v>
      </c>
      <c r="J12" s="52">
        <f t="shared" si="0"/>
        <v>27000000</v>
      </c>
      <c r="K12" s="52">
        <f t="shared" si="1"/>
        <v>27000000</v>
      </c>
      <c r="L12" s="544">
        <v>44428</v>
      </c>
      <c r="M12" s="544">
        <f t="shared" si="2"/>
        <v>44463</v>
      </c>
      <c r="N12" s="347">
        <v>27000000</v>
      </c>
      <c r="O12" s="544">
        <f t="shared" si="3"/>
        <v>44608</v>
      </c>
      <c r="P12" s="347"/>
      <c r="Q12" s="69"/>
      <c r="R12" s="6"/>
      <c r="S12" s="69" t="s">
        <v>272</v>
      </c>
    </row>
    <row r="13" spans="1:21" s="13" customFormat="1">
      <c r="A13" s="13" t="s">
        <v>146</v>
      </c>
      <c r="B13" s="13" t="s">
        <v>146</v>
      </c>
      <c r="C13" s="13">
        <v>5441</v>
      </c>
      <c r="D13" s="13" t="s">
        <v>77</v>
      </c>
      <c r="E13" s="13" t="s">
        <v>267</v>
      </c>
      <c r="F13" s="36" t="s">
        <v>778</v>
      </c>
      <c r="G13" s="36" t="s">
        <v>215</v>
      </c>
      <c r="H13" s="420">
        <v>60000000</v>
      </c>
      <c r="I13" s="288" t="s">
        <v>146</v>
      </c>
      <c r="J13" s="10">
        <f t="shared" si="0"/>
        <v>60000000</v>
      </c>
      <c r="K13" s="67">
        <f>J13</f>
        <v>60000000</v>
      </c>
      <c r="L13" s="356">
        <v>44429</v>
      </c>
      <c r="M13" s="356">
        <f t="shared" si="2"/>
        <v>44464</v>
      </c>
      <c r="N13" s="288">
        <v>60000000</v>
      </c>
      <c r="O13" s="356">
        <f t="shared" si="3"/>
        <v>44609</v>
      </c>
      <c r="P13" s="288"/>
      <c r="Q13" s="67"/>
      <c r="R13" s="11"/>
      <c r="S13" s="67" t="s">
        <v>272</v>
      </c>
    </row>
    <row r="14" spans="1:21" s="5" customFormat="1" ht="11.4">
      <c r="A14" s="5" t="s">
        <v>146</v>
      </c>
      <c r="B14" s="5" t="s">
        <v>146</v>
      </c>
      <c r="C14" s="5">
        <v>5442</v>
      </c>
      <c r="D14" s="5" t="s">
        <v>625</v>
      </c>
      <c r="E14" s="5" t="s">
        <v>269</v>
      </c>
      <c r="F14" s="26" t="s">
        <v>506</v>
      </c>
      <c r="G14" s="26" t="s">
        <v>80</v>
      </c>
      <c r="H14" s="350">
        <v>20000000</v>
      </c>
      <c r="I14" s="347" t="s">
        <v>146</v>
      </c>
      <c r="J14" s="52">
        <f t="shared" si="0"/>
        <v>20000000</v>
      </c>
      <c r="K14" s="69">
        <f t="shared" ref="K14:K16" si="4">J14</f>
        <v>20000000</v>
      </c>
      <c r="L14" s="544">
        <v>44429</v>
      </c>
      <c r="M14" s="544">
        <f t="shared" ref="M14:M19" si="5">L14+35</f>
        <v>44464</v>
      </c>
      <c r="N14" s="347">
        <v>20000000</v>
      </c>
      <c r="O14" s="544">
        <f t="shared" ref="O14:O16" si="6">L14+180</f>
        <v>44609</v>
      </c>
      <c r="P14" s="347"/>
      <c r="Q14" s="69"/>
      <c r="R14" s="6"/>
      <c r="S14" s="69" t="s">
        <v>272</v>
      </c>
      <c r="U14" s="377" t="s">
        <v>665</v>
      </c>
    </row>
    <row r="15" spans="1:21" s="5" customFormat="1" ht="11.4">
      <c r="A15" s="5" t="s">
        <v>146</v>
      </c>
      <c r="B15" s="5" t="s">
        <v>146</v>
      </c>
      <c r="C15" s="5">
        <v>5443</v>
      </c>
      <c r="D15" s="5" t="s">
        <v>625</v>
      </c>
      <c r="E15" s="5" t="s">
        <v>97</v>
      </c>
      <c r="F15" s="26" t="s">
        <v>781</v>
      </c>
      <c r="G15" s="26" t="s">
        <v>95</v>
      </c>
      <c r="H15" s="350">
        <v>45000000</v>
      </c>
      <c r="I15" s="347" t="s">
        <v>146</v>
      </c>
      <c r="J15" s="52">
        <f t="shared" si="0"/>
        <v>45000000</v>
      </c>
      <c r="K15" s="69">
        <f t="shared" si="4"/>
        <v>45000000</v>
      </c>
      <c r="L15" s="544">
        <v>44429</v>
      </c>
      <c r="M15" s="544">
        <f t="shared" si="5"/>
        <v>44464</v>
      </c>
      <c r="N15" s="347">
        <v>45000000</v>
      </c>
      <c r="O15" s="544">
        <f t="shared" si="6"/>
        <v>44609</v>
      </c>
      <c r="P15" s="347"/>
      <c r="Q15" s="69"/>
      <c r="R15" s="6"/>
      <c r="S15" s="69" t="s">
        <v>272</v>
      </c>
      <c r="U15" s="377" t="s">
        <v>658</v>
      </c>
    </row>
    <row r="16" spans="1:21" s="13" customFormat="1">
      <c r="A16" s="13" t="s">
        <v>146</v>
      </c>
      <c r="B16" s="13" t="s">
        <v>146</v>
      </c>
      <c r="C16" s="13">
        <v>5444</v>
      </c>
      <c r="D16" s="13" t="s">
        <v>77</v>
      </c>
      <c r="E16" s="13" t="s">
        <v>266</v>
      </c>
      <c r="F16" s="36" t="s">
        <v>482</v>
      </c>
      <c r="G16" s="36" t="s">
        <v>78</v>
      </c>
      <c r="H16" s="420">
        <v>40000000</v>
      </c>
      <c r="I16" s="288" t="s">
        <v>146</v>
      </c>
      <c r="J16" s="10">
        <f t="shared" si="0"/>
        <v>40000000</v>
      </c>
      <c r="K16" s="67">
        <f t="shared" si="4"/>
        <v>40000000</v>
      </c>
      <c r="L16" s="356">
        <v>44429</v>
      </c>
      <c r="M16" s="356">
        <f t="shared" si="5"/>
        <v>44464</v>
      </c>
      <c r="N16" s="288">
        <v>40000000</v>
      </c>
      <c r="O16" s="356">
        <f t="shared" si="6"/>
        <v>44609</v>
      </c>
      <c r="P16" s="288"/>
      <c r="Q16" s="67"/>
      <c r="R16" s="11"/>
      <c r="S16" s="67" t="s">
        <v>272</v>
      </c>
    </row>
    <row r="17" spans="1:21" s="552" customFormat="1" ht="11.4">
      <c r="A17" s="552" t="s">
        <v>146</v>
      </c>
      <c r="B17" s="552" t="s">
        <v>146</v>
      </c>
      <c r="C17" s="552">
        <v>5448</v>
      </c>
      <c r="D17" s="552" t="s">
        <v>625</v>
      </c>
      <c r="E17" s="552" t="s">
        <v>76</v>
      </c>
      <c r="F17" s="553" t="s">
        <v>248</v>
      </c>
      <c r="G17" s="553" t="s">
        <v>152</v>
      </c>
      <c r="H17" s="554">
        <v>369304460</v>
      </c>
      <c r="I17" s="555" t="s">
        <v>146</v>
      </c>
      <c r="J17" s="554">
        <v>369304460</v>
      </c>
      <c r="K17" s="556">
        <f>J17</f>
        <v>369304460</v>
      </c>
      <c r="L17" s="557">
        <v>44464</v>
      </c>
      <c r="M17" s="557">
        <f t="shared" si="5"/>
        <v>44499</v>
      </c>
      <c r="N17" s="555">
        <f>K17</f>
        <v>369304460</v>
      </c>
      <c r="O17" s="557">
        <f>L17+210</f>
        <v>44674</v>
      </c>
      <c r="P17" s="555"/>
      <c r="Q17" s="556"/>
      <c r="R17" s="558"/>
      <c r="S17" s="552" t="s">
        <v>146</v>
      </c>
    </row>
    <row r="18" spans="1:21" s="565" customFormat="1">
      <c r="A18" s="565" t="s">
        <v>146</v>
      </c>
      <c r="B18" s="565" t="s">
        <v>146</v>
      </c>
      <c r="C18" s="565">
        <v>5449</v>
      </c>
      <c r="D18" s="565" t="s">
        <v>77</v>
      </c>
      <c r="E18" s="565" t="s">
        <v>797</v>
      </c>
      <c r="F18" s="566" t="s">
        <v>300</v>
      </c>
      <c r="G18" s="567" t="s">
        <v>798</v>
      </c>
      <c r="H18" s="568">
        <v>25000000</v>
      </c>
      <c r="I18" s="569" t="s">
        <v>146</v>
      </c>
      <c r="J18" s="568">
        <v>25000000</v>
      </c>
      <c r="K18" s="570">
        <f>J18</f>
        <v>25000000</v>
      </c>
      <c r="L18" s="571">
        <v>44481</v>
      </c>
      <c r="M18" s="571">
        <f t="shared" si="5"/>
        <v>44516</v>
      </c>
      <c r="N18" s="569">
        <v>25000000</v>
      </c>
      <c r="O18" s="571">
        <f>L18+210</f>
        <v>44691</v>
      </c>
      <c r="P18" s="569"/>
      <c r="Q18" s="570"/>
      <c r="R18" s="572"/>
      <c r="S18" s="565" t="s">
        <v>146</v>
      </c>
    </row>
    <row r="19" spans="1:21" s="581" customFormat="1">
      <c r="A19" s="581" t="s">
        <v>146</v>
      </c>
      <c r="B19" s="581" t="s">
        <v>146</v>
      </c>
      <c r="C19" s="581">
        <v>5454</v>
      </c>
      <c r="D19" s="581" t="s">
        <v>77</v>
      </c>
      <c r="E19" s="581" t="s">
        <v>150</v>
      </c>
      <c r="F19" s="582" t="s">
        <v>300</v>
      </c>
      <c r="G19" s="582" t="s">
        <v>152</v>
      </c>
      <c r="H19" s="583">
        <v>69287675.25</v>
      </c>
      <c r="I19" s="584" t="s">
        <v>146</v>
      </c>
      <c r="J19" s="583">
        <f t="shared" ref="J19:J24" si="7">H19</f>
        <v>69287675.25</v>
      </c>
      <c r="K19" s="585">
        <f>J19</f>
        <v>69287675.25</v>
      </c>
      <c r="L19" s="586">
        <v>44512</v>
      </c>
      <c r="M19" s="586">
        <f t="shared" si="5"/>
        <v>44547</v>
      </c>
      <c r="N19" s="587">
        <f>K19</f>
        <v>69287675.25</v>
      </c>
      <c r="O19" s="586">
        <f>L19+210</f>
        <v>44722</v>
      </c>
      <c r="P19" s="584"/>
      <c r="Q19" s="588"/>
      <c r="R19" s="589"/>
      <c r="S19" s="581" t="s">
        <v>146</v>
      </c>
    </row>
    <row r="20" spans="1:21" s="13" customFormat="1">
      <c r="A20" s="13" t="s">
        <v>146</v>
      </c>
      <c r="B20" s="13" t="s">
        <v>146</v>
      </c>
      <c r="C20" s="13" t="s">
        <v>812</v>
      </c>
      <c r="D20" s="13" t="s">
        <v>43</v>
      </c>
      <c r="E20" s="13" t="s">
        <v>818</v>
      </c>
      <c r="F20" s="36" t="s">
        <v>811</v>
      </c>
      <c r="G20" s="36" t="s">
        <v>810</v>
      </c>
      <c r="H20" s="420">
        <v>75000000</v>
      </c>
      <c r="I20" s="288" t="s">
        <v>146</v>
      </c>
      <c r="J20" s="420">
        <f t="shared" si="7"/>
        <v>75000000</v>
      </c>
      <c r="K20" s="420"/>
      <c r="L20" s="356"/>
      <c r="M20" s="356"/>
      <c r="N20" s="420"/>
      <c r="O20" s="356"/>
      <c r="P20" s="420"/>
      <c r="Q20" s="420"/>
      <c r="R20" s="11"/>
      <c r="S20" s="13" t="s">
        <v>264</v>
      </c>
    </row>
    <row r="21" spans="1:21" s="13" customFormat="1">
      <c r="A21" s="13" t="s">
        <v>146</v>
      </c>
      <c r="B21" s="13" t="s">
        <v>146</v>
      </c>
      <c r="C21" s="13" t="s">
        <v>813</v>
      </c>
      <c r="D21" s="13" t="s">
        <v>43</v>
      </c>
      <c r="E21" s="13" t="s">
        <v>158</v>
      </c>
      <c r="F21" s="36" t="s">
        <v>814</v>
      </c>
      <c r="G21" s="36" t="s">
        <v>815</v>
      </c>
      <c r="H21" s="420">
        <v>20000000</v>
      </c>
      <c r="I21" s="288" t="s">
        <v>146</v>
      </c>
      <c r="J21" s="420">
        <f t="shared" si="7"/>
        <v>20000000</v>
      </c>
      <c r="K21" s="420"/>
      <c r="L21" s="356"/>
      <c r="M21" s="356"/>
      <c r="N21" s="420"/>
      <c r="O21" s="356"/>
      <c r="P21" s="420"/>
      <c r="Q21" s="420"/>
      <c r="R21" s="11"/>
      <c r="S21" s="67" t="s">
        <v>272</v>
      </c>
    </row>
    <row r="22" spans="1:21" s="5" customFormat="1" ht="11.4">
      <c r="A22" s="5" t="s">
        <v>146</v>
      </c>
      <c r="B22" s="5" t="s">
        <v>146</v>
      </c>
      <c r="C22" s="5">
        <v>5445</v>
      </c>
      <c r="D22" s="5" t="s">
        <v>625</v>
      </c>
      <c r="E22" s="5" t="s">
        <v>616</v>
      </c>
      <c r="F22" s="26" t="s">
        <v>617</v>
      </c>
      <c r="G22" s="26" t="s">
        <v>79</v>
      </c>
      <c r="H22" s="350">
        <v>60000000</v>
      </c>
      <c r="I22" s="347" t="s">
        <v>146</v>
      </c>
      <c r="J22" s="350">
        <f t="shared" si="7"/>
        <v>60000000</v>
      </c>
      <c r="K22" s="350">
        <f t="shared" ref="K22:K28" si="8">J22</f>
        <v>60000000</v>
      </c>
      <c r="L22" s="544">
        <v>44442</v>
      </c>
      <c r="M22" s="544">
        <f t="shared" ref="M22:M28" si="9">L22+35</f>
        <v>44477</v>
      </c>
      <c r="N22" s="350">
        <v>60000000</v>
      </c>
      <c r="O22" s="544">
        <f>L22+180</f>
        <v>44622</v>
      </c>
      <c r="P22" s="350"/>
      <c r="Q22" s="350"/>
      <c r="R22" s="6"/>
      <c r="S22" s="69" t="s">
        <v>272</v>
      </c>
      <c r="U22" s="377" t="s">
        <v>634</v>
      </c>
    </row>
    <row r="23" spans="1:21" s="5" customFormat="1" ht="11.4">
      <c r="A23" s="5" t="s">
        <v>146</v>
      </c>
      <c r="B23" s="5" t="s">
        <v>146</v>
      </c>
      <c r="C23" s="5">
        <v>5446</v>
      </c>
      <c r="D23" s="5" t="s">
        <v>625</v>
      </c>
      <c r="E23" s="5" t="s">
        <v>378</v>
      </c>
      <c r="F23" s="26" t="s">
        <v>828</v>
      </c>
      <c r="G23" s="26" t="s">
        <v>80</v>
      </c>
      <c r="H23" s="350">
        <v>50000000</v>
      </c>
      <c r="I23" s="347" t="s">
        <v>146</v>
      </c>
      <c r="J23" s="350">
        <f t="shared" si="7"/>
        <v>50000000</v>
      </c>
      <c r="K23" s="350">
        <f t="shared" si="8"/>
        <v>50000000</v>
      </c>
      <c r="L23" s="544">
        <v>44448</v>
      </c>
      <c r="M23" s="544">
        <f t="shared" si="9"/>
        <v>44483</v>
      </c>
      <c r="N23" s="350">
        <v>35000000</v>
      </c>
      <c r="O23" s="544">
        <f>L23+180</f>
        <v>44628</v>
      </c>
      <c r="P23" s="350"/>
      <c r="Q23" s="350">
        <f>K23-N23</f>
        <v>15000000</v>
      </c>
      <c r="R23" s="6">
        <v>44484</v>
      </c>
      <c r="S23" s="69" t="s">
        <v>209</v>
      </c>
      <c r="T23" s="495" t="s">
        <v>829</v>
      </c>
      <c r="U23" s="377" t="s">
        <v>830</v>
      </c>
    </row>
    <row r="24" spans="1:21" s="13" customFormat="1">
      <c r="A24" s="13" t="s">
        <v>146</v>
      </c>
      <c r="B24" s="13" t="s">
        <v>146</v>
      </c>
      <c r="C24" s="13">
        <v>5447</v>
      </c>
      <c r="D24" s="13" t="s">
        <v>391</v>
      </c>
      <c r="E24" s="13" t="s">
        <v>143</v>
      </c>
      <c r="F24" s="36" t="s">
        <v>707</v>
      </c>
      <c r="G24" s="36" t="s">
        <v>79</v>
      </c>
      <c r="H24" s="420">
        <v>25000000</v>
      </c>
      <c r="I24" s="288" t="s">
        <v>146</v>
      </c>
      <c r="J24" s="420">
        <f t="shared" si="7"/>
        <v>25000000</v>
      </c>
      <c r="K24" s="420">
        <f t="shared" si="8"/>
        <v>25000000</v>
      </c>
      <c r="L24" s="356">
        <v>44449</v>
      </c>
      <c r="M24" s="356">
        <f t="shared" si="9"/>
        <v>44484</v>
      </c>
      <c r="N24" s="420">
        <v>25000000</v>
      </c>
      <c r="O24" s="356">
        <f>L24+180</f>
        <v>44629</v>
      </c>
      <c r="P24" s="420">
        <v>0</v>
      </c>
      <c r="Q24" s="420">
        <f>N24-P24</f>
        <v>25000000</v>
      </c>
      <c r="R24" s="11">
        <v>44505</v>
      </c>
      <c r="S24" s="67" t="s">
        <v>272</v>
      </c>
      <c r="U24" s="466" t="s">
        <v>709</v>
      </c>
    </row>
    <row r="25" spans="1:21" s="5" customFormat="1" ht="11.4">
      <c r="A25" s="5" t="s">
        <v>146</v>
      </c>
      <c r="B25" s="5" t="s">
        <v>146</v>
      </c>
      <c r="C25" s="5">
        <v>5450</v>
      </c>
      <c r="D25" s="5" t="s">
        <v>625</v>
      </c>
      <c r="E25" s="5" t="s">
        <v>161</v>
      </c>
      <c r="F25" s="26" t="s">
        <v>438</v>
      </c>
      <c r="G25" s="26" t="s">
        <v>80</v>
      </c>
      <c r="H25" s="350">
        <v>35000000</v>
      </c>
      <c r="I25" s="347" t="s">
        <v>146</v>
      </c>
      <c r="J25" s="350">
        <f t="shared" ref="J25:J31" si="10">H25</f>
        <v>35000000</v>
      </c>
      <c r="K25" s="350">
        <f t="shared" si="8"/>
        <v>35000000</v>
      </c>
      <c r="L25" s="544">
        <v>44496</v>
      </c>
      <c r="M25" s="544">
        <f t="shared" si="9"/>
        <v>44531</v>
      </c>
      <c r="N25" s="350">
        <v>35000000</v>
      </c>
      <c r="O25" s="544">
        <v>44560</v>
      </c>
      <c r="P25" s="350"/>
      <c r="Q25" s="350"/>
      <c r="R25" s="6"/>
      <c r="S25" s="69" t="s">
        <v>272</v>
      </c>
      <c r="U25" s="377" t="s">
        <v>839</v>
      </c>
    </row>
    <row r="26" spans="1:21" s="5" customFormat="1" ht="11.4">
      <c r="A26" s="5" t="s">
        <v>146</v>
      </c>
      <c r="B26" s="5" t="s">
        <v>146</v>
      </c>
      <c r="C26" s="5">
        <v>5451</v>
      </c>
      <c r="D26" s="5" t="s">
        <v>625</v>
      </c>
      <c r="E26" s="5" t="s">
        <v>98</v>
      </c>
      <c r="F26" s="26" t="s">
        <v>841</v>
      </c>
      <c r="G26" s="26" t="s">
        <v>79</v>
      </c>
      <c r="H26" s="350">
        <v>33000000</v>
      </c>
      <c r="I26" s="347" t="s">
        <v>146</v>
      </c>
      <c r="J26" s="350">
        <f t="shared" si="10"/>
        <v>33000000</v>
      </c>
      <c r="K26" s="350">
        <f t="shared" si="8"/>
        <v>33000000</v>
      </c>
      <c r="L26" s="544">
        <v>44509</v>
      </c>
      <c r="M26" s="544">
        <f t="shared" si="9"/>
        <v>44544</v>
      </c>
      <c r="N26" s="350">
        <v>33000000</v>
      </c>
      <c r="O26" s="544">
        <f>L26+180</f>
        <v>44689</v>
      </c>
      <c r="P26" s="350"/>
      <c r="Q26" s="350"/>
      <c r="R26" s="6"/>
      <c r="S26" s="69" t="s">
        <v>272</v>
      </c>
      <c r="U26" s="377" t="s">
        <v>649</v>
      </c>
    </row>
    <row r="27" spans="1:21" s="552" customFormat="1" ht="11.4">
      <c r="A27" s="552" t="s">
        <v>146</v>
      </c>
      <c r="B27" s="552" t="s">
        <v>146</v>
      </c>
      <c r="C27" s="552">
        <v>5452</v>
      </c>
      <c r="D27" s="552" t="s">
        <v>625</v>
      </c>
      <c r="E27" s="552" t="s">
        <v>76</v>
      </c>
      <c r="F27" s="553" t="s">
        <v>844</v>
      </c>
      <c r="G27" s="553" t="s">
        <v>152</v>
      </c>
      <c r="H27" s="554">
        <v>250000000</v>
      </c>
      <c r="I27" s="555" t="s">
        <v>146</v>
      </c>
      <c r="J27" s="554">
        <f t="shared" si="10"/>
        <v>250000000</v>
      </c>
      <c r="K27" s="556">
        <f t="shared" si="8"/>
        <v>250000000</v>
      </c>
      <c r="L27" s="557">
        <v>44512</v>
      </c>
      <c r="M27" s="557">
        <f t="shared" si="9"/>
        <v>44547</v>
      </c>
      <c r="N27" s="555"/>
      <c r="O27" s="557">
        <f>L27+210</f>
        <v>44722</v>
      </c>
      <c r="P27" s="555"/>
      <c r="Q27" s="556"/>
      <c r="R27" s="558"/>
      <c r="S27" s="552" t="s">
        <v>146</v>
      </c>
      <c r="U27" s="377" t="s">
        <v>848</v>
      </c>
    </row>
    <row r="28" spans="1:21" s="552" customFormat="1" ht="11.4">
      <c r="A28" s="552" t="s">
        <v>146</v>
      </c>
      <c r="B28" s="552" t="s">
        <v>146</v>
      </c>
      <c r="C28" s="552">
        <v>5453</v>
      </c>
      <c r="D28" s="552" t="s">
        <v>625</v>
      </c>
      <c r="E28" s="552" t="s">
        <v>76</v>
      </c>
      <c r="F28" s="553" t="s">
        <v>249</v>
      </c>
      <c r="G28" s="553" t="s">
        <v>152</v>
      </c>
      <c r="H28" s="554">
        <v>250000000</v>
      </c>
      <c r="I28" s="555" t="s">
        <v>146</v>
      </c>
      <c r="J28" s="554">
        <f t="shared" si="10"/>
        <v>250000000</v>
      </c>
      <c r="K28" s="556">
        <f t="shared" si="8"/>
        <v>250000000</v>
      </c>
      <c r="L28" s="557">
        <v>44512</v>
      </c>
      <c r="M28" s="557">
        <f t="shared" si="9"/>
        <v>44547</v>
      </c>
      <c r="N28" s="555"/>
      <c r="O28" s="557">
        <f>L28+210</f>
        <v>44722</v>
      </c>
      <c r="P28" s="555"/>
      <c r="Q28" s="556"/>
      <c r="R28" s="558"/>
      <c r="S28" s="552" t="s">
        <v>146</v>
      </c>
      <c r="U28" s="377" t="s">
        <v>849</v>
      </c>
    </row>
    <row r="29" spans="1:21" s="5" customFormat="1" ht="11.4">
      <c r="A29" s="5" t="s">
        <v>146</v>
      </c>
      <c r="B29" s="5" t="s">
        <v>146</v>
      </c>
      <c r="C29" s="5">
        <v>5455</v>
      </c>
      <c r="D29" s="5" t="s">
        <v>625</v>
      </c>
      <c r="E29" s="5" t="s">
        <v>221</v>
      </c>
      <c r="F29" s="26" t="s">
        <v>421</v>
      </c>
      <c r="G29" s="26" t="s">
        <v>79</v>
      </c>
      <c r="H29" s="350">
        <v>8000000</v>
      </c>
      <c r="I29" s="347" t="s">
        <v>146</v>
      </c>
      <c r="J29" s="350">
        <f t="shared" si="10"/>
        <v>8000000</v>
      </c>
      <c r="K29" s="69">
        <f>J29</f>
        <v>8000000</v>
      </c>
      <c r="L29" s="544">
        <v>44513</v>
      </c>
      <c r="M29" s="544">
        <f>L29+35</f>
        <v>44548</v>
      </c>
      <c r="N29" s="347"/>
      <c r="O29" s="544">
        <f>L29+180</f>
        <v>44693</v>
      </c>
      <c r="P29" s="347"/>
      <c r="Q29" s="69"/>
      <c r="R29" s="6"/>
      <c r="S29" s="69" t="s">
        <v>272</v>
      </c>
      <c r="U29" s="5" t="s">
        <v>676</v>
      </c>
    </row>
    <row r="30" spans="1:21" s="5" customFormat="1" ht="11.4">
      <c r="A30" s="5" t="s">
        <v>146</v>
      </c>
      <c r="B30" s="5" t="s">
        <v>146</v>
      </c>
      <c r="C30" s="5">
        <v>5456</v>
      </c>
      <c r="D30" s="5" t="s">
        <v>625</v>
      </c>
      <c r="E30" s="5" t="s">
        <v>221</v>
      </c>
      <c r="F30" s="26" t="s">
        <v>850</v>
      </c>
      <c r="G30" s="26" t="s">
        <v>291</v>
      </c>
      <c r="H30" s="350">
        <v>8500000</v>
      </c>
      <c r="I30" s="347" t="s">
        <v>146</v>
      </c>
      <c r="J30" s="350">
        <f t="shared" si="10"/>
        <v>8500000</v>
      </c>
      <c r="K30" s="69">
        <f>J30</f>
        <v>8500000</v>
      </c>
      <c r="L30" s="544">
        <v>44513</v>
      </c>
      <c r="M30" s="544">
        <f>L30+35</f>
        <v>44548</v>
      </c>
      <c r="N30" s="347"/>
      <c r="O30" s="544">
        <f>L30+180</f>
        <v>44693</v>
      </c>
      <c r="P30" s="347"/>
      <c r="Q30" s="69"/>
      <c r="R30" s="6"/>
      <c r="S30" s="69" t="s">
        <v>272</v>
      </c>
      <c r="U30" s="5" t="s">
        <v>676</v>
      </c>
    </row>
    <row r="31" spans="1:21" s="565" customFormat="1">
      <c r="A31" s="565" t="s">
        <v>146</v>
      </c>
      <c r="B31" s="565" t="s">
        <v>146</v>
      </c>
      <c r="C31" s="565">
        <v>5457</v>
      </c>
      <c r="D31" s="565" t="s">
        <v>391</v>
      </c>
      <c r="E31" s="565" t="s">
        <v>150</v>
      </c>
      <c r="F31" s="566" t="s">
        <v>249</v>
      </c>
      <c r="G31" s="566" t="s">
        <v>152</v>
      </c>
      <c r="H31" s="573">
        <v>241078280.40000001</v>
      </c>
      <c r="I31" s="569" t="s">
        <v>146</v>
      </c>
      <c r="J31" s="573">
        <f t="shared" si="10"/>
        <v>241078280.40000001</v>
      </c>
      <c r="K31" s="576">
        <f>J31</f>
        <v>241078280.40000001</v>
      </c>
      <c r="L31" s="571">
        <v>44513</v>
      </c>
      <c r="M31" s="571">
        <f>L31+35</f>
        <v>44548</v>
      </c>
      <c r="N31" s="574">
        <f>K31</f>
        <v>241078280.40000001</v>
      </c>
      <c r="O31" s="571">
        <f>L31+210</f>
        <v>44723</v>
      </c>
      <c r="P31" s="569">
        <v>0</v>
      </c>
      <c r="Q31" s="576">
        <f>N31-P31</f>
        <v>241078280.40000001</v>
      </c>
      <c r="R31" s="572">
        <v>44530</v>
      </c>
      <c r="S31" s="565" t="s">
        <v>146</v>
      </c>
      <c r="U31" s="466" t="s">
        <v>855</v>
      </c>
    </row>
    <row r="32" spans="1:21" s="5" customFormat="1" ht="13.5" customHeight="1">
      <c r="H32" s="405"/>
      <c r="I32" s="350"/>
      <c r="J32" s="347"/>
      <c r="K32" s="347"/>
      <c r="L32" s="6"/>
      <c r="M32" s="6"/>
      <c r="N32" s="347"/>
      <c r="O32" s="6"/>
      <c r="P32" s="347"/>
      <c r="Q32" s="52"/>
      <c r="R32" s="6"/>
      <c r="U32" s="377"/>
    </row>
    <row r="33" spans="1:19">
      <c r="C33" s="13"/>
      <c r="E33" s="5"/>
      <c r="F33" s="5" t="s">
        <v>7</v>
      </c>
      <c r="G33" s="5" t="s">
        <v>6</v>
      </c>
      <c r="H33" s="68">
        <f>SUM(H7:H32)</f>
        <v>1826170415.6500001</v>
      </c>
      <c r="I33" s="318"/>
      <c r="J33" s="68">
        <f>SUM(J7:J32)</f>
        <v>1826170415.6500001</v>
      </c>
      <c r="K33" s="68">
        <f>SUM(K7:K32)</f>
        <v>1731170415.6500001</v>
      </c>
      <c r="L33" s="27"/>
      <c r="M33" s="27"/>
      <c r="N33" s="68">
        <f>SUM(N7:N32)</f>
        <v>1199670415.6500001</v>
      </c>
      <c r="P33" s="68">
        <f>SUM(P7:P32)</f>
        <v>20500000</v>
      </c>
      <c r="Q33" s="68">
        <f>SUM(Q7:Q32)</f>
        <v>285578280.39999998</v>
      </c>
    </row>
    <row r="34" spans="1:19">
      <c r="C34" s="13"/>
      <c r="E34" s="43"/>
      <c r="G34" s="13"/>
      <c r="H34" s="318"/>
      <c r="I34" s="318"/>
      <c r="J34" s="318"/>
      <c r="K34" s="9"/>
      <c r="N34" s="9"/>
      <c r="P34" s="9"/>
      <c r="Q34" s="9"/>
    </row>
    <row r="35" spans="1:19">
      <c r="C35" s="13"/>
      <c r="E35" s="13"/>
      <c r="G35" s="5" t="s">
        <v>43</v>
      </c>
      <c r="H35" s="318">
        <f>J33-K33</f>
        <v>95000000</v>
      </c>
      <c r="I35" s="318"/>
      <c r="J35" s="318"/>
      <c r="K35" s="9"/>
      <c r="N35" s="83"/>
      <c r="O35" s="7"/>
      <c r="P35" s="9"/>
      <c r="Q35" s="9"/>
    </row>
    <row r="36" spans="1:19">
      <c r="G36" s="13"/>
      <c r="H36" s="9"/>
      <c r="I36" s="9"/>
      <c r="J36" s="9"/>
      <c r="K36" s="9"/>
      <c r="N36" s="83"/>
      <c r="P36" s="9"/>
      <c r="Q36" s="9"/>
    </row>
    <row r="37" spans="1:19">
      <c r="F37" s="140"/>
      <c r="G37" s="5" t="s">
        <v>186</v>
      </c>
      <c r="H37" s="563">
        <f>E1-K33+Q33+G51</f>
        <v>57333474</v>
      </c>
      <c r="I37" s="9"/>
      <c r="J37" s="9"/>
      <c r="K37" s="9"/>
      <c r="N37" s="83"/>
      <c r="P37" s="9"/>
      <c r="Q37" s="83"/>
    </row>
    <row r="38" spans="1:19">
      <c r="H38" s="326" t="s">
        <v>444</v>
      </c>
      <c r="N38" s="83"/>
    </row>
    <row r="39" spans="1:19">
      <c r="H39" s="361"/>
      <c r="J39" s="9"/>
      <c r="N39" s="83"/>
      <c r="O39" s="1"/>
      <c r="S39" s="1"/>
    </row>
    <row r="40" spans="1:19">
      <c r="H40" s="2"/>
      <c r="J40" s="9"/>
      <c r="N40" s="83"/>
      <c r="O40" s="1"/>
      <c r="S40" s="1"/>
    </row>
    <row r="41" spans="1:19">
      <c r="A41" s="13"/>
      <c r="B41" s="13"/>
      <c r="C41" s="43">
        <v>5240</v>
      </c>
      <c r="D41" s="43" t="s">
        <v>77</v>
      </c>
      <c r="E41" s="148" t="s">
        <v>269</v>
      </c>
      <c r="F41" s="13" t="s">
        <v>94</v>
      </c>
      <c r="G41" s="456">
        <v>3520000</v>
      </c>
      <c r="H41" s="545" t="s">
        <v>823</v>
      </c>
      <c r="I41" s="287"/>
      <c r="K41" s="83"/>
      <c r="M41" s="1"/>
      <c r="O41" s="1"/>
      <c r="S41" s="1"/>
    </row>
    <row r="42" spans="1:19">
      <c r="A42" s="13"/>
      <c r="B42" s="13"/>
      <c r="C42" s="43">
        <v>5247</v>
      </c>
      <c r="D42" s="43" t="s">
        <v>77</v>
      </c>
      <c r="E42" s="148" t="s">
        <v>97</v>
      </c>
      <c r="F42" s="13" t="s">
        <v>94</v>
      </c>
      <c r="G42" s="456">
        <v>9284000</v>
      </c>
      <c r="H42" s="545" t="s">
        <v>822</v>
      </c>
      <c r="I42" s="287"/>
      <c r="J42" s="76"/>
      <c r="K42" s="559"/>
      <c r="M42" s="1"/>
      <c r="O42" s="1"/>
      <c r="S42" s="1"/>
    </row>
    <row r="43" spans="1:19">
      <c r="A43" s="13"/>
      <c r="B43" s="13"/>
      <c r="C43" s="43">
        <v>5199</v>
      </c>
      <c r="D43" s="43" t="s">
        <v>77</v>
      </c>
      <c r="E43" s="148" t="s">
        <v>616</v>
      </c>
      <c r="F43" s="13" t="s">
        <v>94</v>
      </c>
      <c r="G43" s="456">
        <v>60000000</v>
      </c>
      <c r="H43" s="545" t="s">
        <v>826</v>
      </c>
      <c r="I43" s="287"/>
      <c r="M43" s="1"/>
      <c r="O43" s="1"/>
      <c r="S43" s="1"/>
    </row>
    <row r="44" spans="1:19">
      <c r="A44" s="13"/>
      <c r="B44" s="13"/>
      <c r="C44" s="43">
        <v>5203</v>
      </c>
      <c r="D44" s="43" t="s">
        <v>77</v>
      </c>
      <c r="E44" s="148" t="s">
        <v>378</v>
      </c>
      <c r="F44" s="13" t="s">
        <v>94</v>
      </c>
      <c r="G44" s="456">
        <v>35000000</v>
      </c>
      <c r="H44" s="545" t="s">
        <v>836</v>
      </c>
      <c r="I44" s="287"/>
      <c r="M44" s="1"/>
      <c r="O44" s="1"/>
      <c r="S44" s="1"/>
    </row>
    <row r="45" spans="1:19">
      <c r="A45" s="13"/>
      <c r="B45" s="13"/>
      <c r="C45" s="43">
        <v>4895</v>
      </c>
      <c r="D45" s="43" t="s">
        <v>77</v>
      </c>
      <c r="E45" s="148" t="s">
        <v>161</v>
      </c>
      <c r="F45" s="13" t="s">
        <v>296</v>
      </c>
      <c r="G45" s="456">
        <v>35000000</v>
      </c>
      <c r="H45" s="209" t="s">
        <v>871</v>
      </c>
      <c r="I45" s="287"/>
      <c r="M45" s="1"/>
      <c r="N45" s="83"/>
      <c r="O45" s="1"/>
      <c r="S45" s="1"/>
    </row>
    <row r="46" spans="1:19">
      <c r="A46" s="13"/>
      <c r="B46" s="13"/>
      <c r="C46" s="43">
        <v>5253</v>
      </c>
      <c r="D46" s="43" t="s">
        <v>77</v>
      </c>
      <c r="E46" s="148" t="s">
        <v>98</v>
      </c>
      <c r="F46" s="13" t="s">
        <v>94</v>
      </c>
      <c r="G46" s="456">
        <v>33000000</v>
      </c>
      <c r="H46" s="209" t="s">
        <v>843</v>
      </c>
      <c r="I46" s="287"/>
      <c r="M46" s="1"/>
      <c r="N46" s="83"/>
      <c r="O46" s="1"/>
      <c r="S46" s="1"/>
    </row>
    <row r="47" spans="1:19">
      <c r="A47" s="13"/>
      <c r="B47" s="13"/>
      <c r="C47" s="43">
        <v>5098</v>
      </c>
      <c r="D47" s="43" t="s">
        <v>77</v>
      </c>
      <c r="E47" s="148" t="s">
        <v>76</v>
      </c>
      <c r="F47" s="13" t="s">
        <v>248</v>
      </c>
      <c r="G47" s="562">
        <v>87298849.329999998</v>
      </c>
      <c r="H47" s="209" t="s">
        <v>845</v>
      </c>
      <c r="I47" s="287"/>
      <c r="M47" s="1"/>
      <c r="N47" s="83"/>
      <c r="O47" s="1"/>
      <c r="S47" s="1"/>
    </row>
    <row r="48" spans="1:19">
      <c r="A48" s="13"/>
      <c r="B48" s="13"/>
      <c r="C48" s="43">
        <v>5216</v>
      </c>
      <c r="D48" s="43" t="s">
        <v>77</v>
      </c>
      <c r="E48" s="148" t="s">
        <v>76</v>
      </c>
      <c r="F48" s="13" t="s">
        <v>392</v>
      </c>
      <c r="G48" s="562">
        <v>409970085</v>
      </c>
      <c r="H48" s="209" t="s">
        <v>846</v>
      </c>
      <c r="I48" s="287"/>
      <c r="M48" s="1"/>
      <c r="N48" s="83"/>
      <c r="O48" s="1"/>
      <c r="S48" s="1"/>
    </row>
    <row r="49" spans="1:19">
      <c r="A49" s="13"/>
      <c r="B49" s="13"/>
      <c r="C49" s="43">
        <v>5214</v>
      </c>
      <c r="D49" s="43" t="s">
        <v>77</v>
      </c>
      <c r="E49" s="148" t="s">
        <v>76</v>
      </c>
      <c r="F49" s="13" t="s">
        <v>300</v>
      </c>
      <c r="G49" s="562">
        <v>2731065.67</v>
      </c>
      <c r="H49" s="209" t="s">
        <v>847</v>
      </c>
      <c r="I49" s="287"/>
      <c r="M49" s="1"/>
      <c r="N49" s="83"/>
      <c r="O49" s="1"/>
      <c r="S49" s="1"/>
    </row>
    <row r="50" spans="1:19">
      <c r="A50" s="13"/>
      <c r="B50" s="13"/>
      <c r="C50" s="43">
        <v>5254</v>
      </c>
      <c r="D50" s="43" t="s">
        <v>77</v>
      </c>
      <c r="E50" s="148" t="s">
        <v>221</v>
      </c>
      <c r="F50" s="13" t="s">
        <v>94</v>
      </c>
      <c r="G50" s="575">
        <v>16500000</v>
      </c>
      <c r="H50" s="287" t="s">
        <v>851</v>
      </c>
      <c r="I50" s="287"/>
      <c r="M50" s="1"/>
      <c r="N50" s="83"/>
      <c r="O50" s="1"/>
      <c r="S50" s="1"/>
    </row>
    <row r="51" spans="1:19">
      <c r="G51" s="313">
        <f>SUM(G41:G50)</f>
        <v>692303999.99999988</v>
      </c>
      <c r="K51" s="167"/>
      <c r="M51" s="1"/>
      <c r="O51" s="1"/>
      <c r="S51" s="1"/>
    </row>
    <row r="52" spans="1:19">
      <c r="G52" s="83"/>
      <c r="K52" s="168"/>
    </row>
    <row r="53" spans="1:19">
      <c r="G53" s="83"/>
      <c r="J53" s="364"/>
      <c r="O53" s="1"/>
      <c r="S53" s="1"/>
    </row>
    <row r="59" spans="1:19">
      <c r="C59" s="4"/>
      <c r="D59" s="4"/>
      <c r="E59" s="4"/>
      <c r="F59" s="4"/>
      <c r="O59" s="1"/>
      <c r="S59" s="1"/>
    </row>
  </sheetData>
  <autoFilter ref="A6:T6" xr:uid="{6AB39F26-206D-4EAD-9D63-C0C08CFEF9BD}"/>
  <phoneticPr fontId="3"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fitToPage="1"/>
  </sheetPr>
  <dimension ref="A1:U54"/>
  <sheetViews>
    <sheetView zoomScaleNormal="100" workbookViewId="0">
      <selection activeCell="H34" sqref="H34"/>
    </sheetView>
  </sheetViews>
  <sheetFormatPr defaultColWidth="11.375" defaultRowHeight="12"/>
  <cols>
    <col min="1" max="1" width="9.375" style="1" customWidth="1"/>
    <col min="2" max="2" width="7.125" style="1" bestFit="1" customWidth="1"/>
    <col min="3" max="3" width="10.125" style="1" bestFit="1" customWidth="1"/>
    <col min="4" max="4" width="13.25" style="1" bestFit="1" customWidth="1"/>
    <col min="5" max="5" width="38" style="1" bestFit="1" customWidth="1"/>
    <col min="6" max="6" width="23.125" style="1" bestFit="1" customWidth="1"/>
    <col min="7" max="7" width="14.875" style="1" customWidth="1"/>
    <col min="8" max="8" width="16" style="9" bestFit="1" customWidth="1"/>
    <col min="9" max="9" width="14" style="97" customWidth="1"/>
    <col min="10" max="10" width="14" style="9" customWidth="1"/>
    <col min="11" max="11" width="16.375" style="14" bestFit="1" customWidth="1"/>
    <col min="12" max="12" width="16.375" style="1" customWidth="1"/>
    <col min="13" max="13" width="16.25" style="1" bestFit="1" customWidth="1"/>
    <col min="14" max="14" width="16.375" style="2" bestFit="1" customWidth="1"/>
    <col min="15" max="15" width="17" style="1" bestFit="1" customWidth="1"/>
    <col min="16" max="16" width="15.25" style="122" bestFit="1" customWidth="1"/>
    <col min="17" max="17" width="15.75" style="122" bestFit="1" customWidth="1"/>
    <col min="18" max="18" width="10.625" style="1" bestFit="1" customWidth="1"/>
    <col min="19" max="19" width="38.125" style="1" bestFit="1" customWidth="1"/>
    <col min="20" max="21" width="11.625" style="1" bestFit="1" customWidth="1"/>
    <col min="22" max="16384" width="11.375" style="1"/>
  </cols>
  <sheetData>
    <row r="1" spans="1:21" s="24" customFormat="1">
      <c r="A1" s="16" t="s">
        <v>21</v>
      </c>
      <c r="B1" s="290"/>
      <c r="C1" s="290"/>
      <c r="D1" s="17"/>
      <c r="E1" s="378">
        <f>Totals!C8</f>
        <v>1311868090</v>
      </c>
      <c r="F1" s="18"/>
      <c r="G1" s="18"/>
      <c r="H1" s="123"/>
      <c r="I1" s="113"/>
      <c r="J1" s="70"/>
      <c r="K1" s="20"/>
      <c r="L1" s="5" t="s">
        <v>246</v>
      </c>
      <c r="M1" s="5" t="s">
        <v>245</v>
      </c>
      <c r="N1" s="5" t="s">
        <v>251</v>
      </c>
      <c r="O1" s="5" t="s">
        <v>250</v>
      </c>
      <c r="P1" s="119"/>
      <c r="Q1" s="119"/>
      <c r="R1" s="23"/>
    </row>
    <row r="2" spans="1:21" s="13" customFormat="1">
      <c r="A2" s="25" t="s">
        <v>35</v>
      </c>
      <c r="B2" s="48"/>
      <c r="C2" s="48"/>
      <c r="D2" s="5"/>
      <c r="E2" s="26"/>
      <c r="F2" s="263"/>
      <c r="G2" s="5"/>
      <c r="I2" s="114"/>
      <c r="J2" s="71"/>
      <c r="K2" s="28"/>
      <c r="L2" s="13" t="s">
        <v>244</v>
      </c>
      <c r="M2" s="357">
        <f>ROUND($E$1*0.5666, 0)</f>
        <v>743304460</v>
      </c>
      <c r="N2" s="54">
        <f>M2-SUM(K13:K19)-SUM(K21:K23)-K25</f>
        <v>369304460</v>
      </c>
      <c r="O2" s="54">
        <f>N2-K26</f>
        <v>19304460</v>
      </c>
      <c r="P2" s="120"/>
      <c r="Q2" s="120"/>
      <c r="R2" s="72"/>
    </row>
    <row r="3" spans="1:21" s="13" customFormat="1">
      <c r="A3" s="25"/>
      <c r="B3" s="48"/>
      <c r="C3" s="48"/>
      <c r="E3" s="5"/>
      <c r="F3" s="5"/>
      <c r="G3" s="5"/>
      <c r="I3" s="114"/>
      <c r="J3" s="71"/>
      <c r="K3" s="28"/>
      <c r="L3" s="13" t="s">
        <v>298</v>
      </c>
      <c r="M3" s="357">
        <f>ROUND($E$1*0.1, 0)</f>
        <v>131186809</v>
      </c>
      <c r="N3" s="54">
        <f>M3-K20</f>
        <v>0</v>
      </c>
      <c r="O3" s="54">
        <f>N3</f>
        <v>0</v>
      </c>
      <c r="P3" s="120"/>
      <c r="Q3" s="120"/>
      <c r="R3" s="72"/>
    </row>
    <row r="4" spans="1:21" s="13" customFormat="1">
      <c r="A4" s="25"/>
      <c r="B4" s="48"/>
      <c r="C4" s="48"/>
      <c r="E4" s="5"/>
      <c r="F4" s="5"/>
      <c r="G4" s="5"/>
      <c r="I4" s="114"/>
      <c r="J4" s="71"/>
      <c r="K4" s="28"/>
      <c r="L4" s="13" t="s">
        <v>68</v>
      </c>
      <c r="M4" s="357">
        <f>ROUND($E$1*0.3334, 0)</f>
        <v>437376821</v>
      </c>
      <c r="N4" s="54">
        <f>M4-K12</f>
        <v>0</v>
      </c>
      <c r="O4" s="54">
        <f>N4</f>
        <v>0</v>
      </c>
      <c r="P4" s="120"/>
      <c r="Q4" s="120"/>
      <c r="R4" s="72"/>
    </row>
    <row r="5" spans="1:21" s="13" customFormat="1">
      <c r="A5" s="25"/>
      <c r="B5" s="48"/>
      <c r="C5" s="48"/>
      <c r="E5" s="5"/>
      <c r="F5" s="5"/>
      <c r="G5" s="5"/>
      <c r="H5" s="71"/>
      <c r="I5" s="114"/>
      <c r="J5" s="71"/>
      <c r="M5" s="5"/>
      <c r="N5" s="53"/>
      <c r="O5" s="11"/>
      <c r="P5" s="120"/>
      <c r="Q5" s="120"/>
      <c r="R5" s="72"/>
    </row>
    <row r="6" spans="1:21" s="5" customFormat="1" ht="11.4">
      <c r="A6" s="31" t="s">
        <v>206</v>
      </c>
      <c r="B6" s="5" t="s">
        <v>208</v>
      </c>
      <c r="C6" s="5" t="s">
        <v>32</v>
      </c>
      <c r="D6" s="5" t="s">
        <v>37</v>
      </c>
      <c r="E6" s="5" t="s">
        <v>31</v>
      </c>
      <c r="F6" s="5" t="s">
        <v>49</v>
      </c>
      <c r="G6" s="5" t="s">
        <v>45</v>
      </c>
      <c r="H6" s="73" t="s">
        <v>23</v>
      </c>
      <c r="I6" s="115" t="s">
        <v>38</v>
      </c>
      <c r="J6" s="73" t="s">
        <v>51</v>
      </c>
      <c r="K6" s="73" t="s">
        <v>8</v>
      </c>
      <c r="L6" s="6" t="s">
        <v>14</v>
      </c>
      <c r="M6" s="6" t="s">
        <v>34</v>
      </c>
      <c r="N6" s="54" t="s">
        <v>4</v>
      </c>
      <c r="O6" s="6" t="s">
        <v>155</v>
      </c>
      <c r="P6" s="121" t="s">
        <v>27</v>
      </c>
      <c r="Q6" s="121" t="s">
        <v>44</v>
      </c>
      <c r="R6" s="30" t="s">
        <v>22</v>
      </c>
    </row>
    <row r="7" spans="1:21" s="5" customFormat="1">
      <c r="A7" s="31" t="s">
        <v>207</v>
      </c>
      <c r="B7" s="5" t="s">
        <v>207</v>
      </c>
      <c r="C7" s="5" t="s">
        <v>48</v>
      </c>
      <c r="D7" s="13"/>
      <c r="E7" s="26"/>
      <c r="F7" s="26"/>
      <c r="G7" s="26"/>
      <c r="H7" s="73" t="s">
        <v>42</v>
      </c>
      <c r="I7" s="115" t="s">
        <v>46</v>
      </c>
      <c r="J7" s="73" t="s">
        <v>42</v>
      </c>
      <c r="K7" s="73" t="s">
        <v>42</v>
      </c>
      <c r="L7" s="6" t="s">
        <v>9</v>
      </c>
      <c r="M7" s="6" t="s">
        <v>18</v>
      </c>
      <c r="N7" s="54" t="s">
        <v>42</v>
      </c>
      <c r="O7" s="6" t="s">
        <v>18</v>
      </c>
      <c r="P7" s="121" t="s">
        <v>42</v>
      </c>
      <c r="Q7" s="121" t="s">
        <v>42</v>
      </c>
      <c r="R7" s="30" t="s">
        <v>5</v>
      </c>
    </row>
    <row r="8" spans="1:21" s="5" customFormat="1" ht="13.8" thickBot="1">
      <c r="A8" s="37"/>
      <c r="B8" s="33"/>
      <c r="C8" s="33" t="s">
        <v>173</v>
      </c>
      <c r="D8" s="38" t="s">
        <v>7</v>
      </c>
      <c r="E8" s="39"/>
      <c r="F8" s="39"/>
      <c r="G8" s="39"/>
      <c r="H8" s="74"/>
      <c r="I8" s="116"/>
      <c r="J8" s="74"/>
      <c r="K8" s="74"/>
      <c r="L8" s="40"/>
      <c r="M8" s="40"/>
      <c r="N8" s="56"/>
      <c r="O8" s="40"/>
      <c r="P8" s="74"/>
      <c r="Q8" s="74"/>
      <c r="R8" s="172" t="s">
        <v>9</v>
      </c>
      <c r="S8" s="13"/>
      <c r="T8" s="170"/>
      <c r="U8" s="13"/>
    </row>
    <row r="9" spans="1:21" s="13" customFormat="1" ht="13.2">
      <c r="A9" s="13" t="s">
        <v>146</v>
      </c>
      <c r="B9" s="13" t="s">
        <v>146</v>
      </c>
      <c r="C9" s="13">
        <v>5330</v>
      </c>
      <c r="D9" s="13" t="s">
        <v>391</v>
      </c>
      <c r="E9" s="36" t="s">
        <v>410</v>
      </c>
      <c r="F9" s="36" t="s">
        <v>682</v>
      </c>
      <c r="G9" s="36" t="s">
        <v>82</v>
      </c>
      <c r="H9" s="434">
        <v>28000000</v>
      </c>
      <c r="I9" s="435" t="s">
        <v>146</v>
      </c>
      <c r="J9" s="434">
        <f>H9</f>
        <v>28000000</v>
      </c>
      <c r="K9" s="434">
        <v>28000000</v>
      </c>
      <c r="L9" s="11">
        <v>44258</v>
      </c>
      <c r="M9" s="11">
        <f t="shared" ref="M9:M26" si="0">L9+35</f>
        <v>44293</v>
      </c>
      <c r="N9" s="434">
        <v>26102169</v>
      </c>
      <c r="O9" s="11">
        <f t="shared" ref="O9:O14" si="1">L9+210</f>
        <v>44468</v>
      </c>
      <c r="P9" s="517">
        <v>0</v>
      </c>
      <c r="Q9" s="434">
        <f>K9-P9</f>
        <v>28000000</v>
      </c>
      <c r="R9" s="11">
        <v>44296</v>
      </c>
      <c r="S9" s="466" t="s">
        <v>683</v>
      </c>
      <c r="T9" s="170"/>
    </row>
    <row r="10" spans="1:21" s="13" customFormat="1" ht="13.2">
      <c r="A10" s="13" t="s">
        <v>146</v>
      </c>
      <c r="B10" s="13" t="s">
        <v>146</v>
      </c>
      <c r="C10" s="13">
        <v>5349</v>
      </c>
      <c r="D10" s="13" t="s">
        <v>391</v>
      </c>
      <c r="E10" s="36" t="s">
        <v>76</v>
      </c>
      <c r="F10" s="36" t="s">
        <v>248</v>
      </c>
      <c r="G10" s="36" t="s">
        <v>152</v>
      </c>
      <c r="H10" s="434">
        <v>179845000</v>
      </c>
      <c r="I10" s="435" t="s">
        <v>146</v>
      </c>
      <c r="J10" s="434">
        <f>H10</f>
        <v>179845000</v>
      </c>
      <c r="K10" s="434">
        <f t="shared" ref="K10:K25" si="2">J10</f>
        <v>179845000</v>
      </c>
      <c r="L10" s="11">
        <v>44299</v>
      </c>
      <c r="M10" s="11">
        <f t="shared" si="0"/>
        <v>44334</v>
      </c>
      <c r="N10" s="434">
        <v>170840815</v>
      </c>
      <c r="O10" s="11">
        <f t="shared" si="1"/>
        <v>44509</v>
      </c>
      <c r="P10" s="434">
        <v>0</v>
      </c>
      <c r="Q10" s="434">
        <f>K10-P10</f>
        <v>179845000</v>
      </c>
      <c r="R10" s="11">
        <v>44358</v>
      </c>
      <c r="S10" s="466" t="s">
        <v>713</v>
      </c>
      <c r="T10" s="170"/>
    </row>
    <row r="11" spans="1:21" s="13" customFormat="1" ht="13.2">
      <c r="A11" s="13" t="s">
        <v>146</v>
      </c>
      <c r="B11" s="13" t="s">
        <v>146</v>
      </c>
      <c r="C11" s="13">
        <v>5396</v>
      </c>
      <c r="D11" s="13" t="s">
        <v>391</v>
      </c>
      <c r="E11" s="36" t="s">
        <v>76</v>
      </c>
      <c r="F11" s="36" t="s">
        <v>248</v>
      </c>
      <c r="G11" s="36" t="s">
        <v>152</v>
      </c>
      <c r="H11" s="434">
        <v>265000000</v>
      </c>
      <c r="I11" s="435" t="s">
        <v>146</v>
      </c>
      <c r="J11" s="434">
        <v>265000000</v>
      </c>
      <c r="K11" s="434">
        <f t="shared" si="2"/>
        <v>265000000</v>
      </c>
      <c r="L11" s="11">
        <v>44404</v>
      </c>
      <c r="M11" s="11">
        <f t="shared" si="0"/>
        <v>44439</v>
      </c>
      <c r="N11" s="517">
        <v>225766903.90000001</v>
      </c>
      <c r="O11" s="11">
        <f t="shared" si="1"/>
        <v>44614</v>
      </c>
      <c r="P11" s="434">
        <v>0</v>
      </c>
      <c r="Q11" s="517">
        <f>K11-P11</f>
        <v>265000000</v>
      </c>
      <c r="R11" s="11">
        <v>44463</v>
      </c>
      <c r="S11" s="466" t="s">
        <v>767</v>
      </c>
      <c r="T11" s="170"/>
    </row>
    <row r="12" spans="1:21" s="5" customFormat="1" ht="13.2">
      <c r="A12" s="5" t="s">
        <v>146</v>
      </c>
      <c r="B12" s="5" t="s">
        <v>146</v>
      </c>
      <c r="C12" s="5">
        <v>5397</v>
      </c>
      <c r="D12" s="5" t="s">
        <v>625</v>
      </c>
      <c r="E12" s="26" t="s">
        <v>76</v>
      </c>
      <c r="F12" s="26" t="s">
        <v>248</v>
      </c>
      <c r="G12" s="26" t="s">
        <v>152</v>
      </c>
      <c r="H12" s="532">
        <v>437376821</v>
      </c>
      <c r="I12" s="533" t="s">
        <v>146</v>
      </c>
      <c r="J12" s="532">
        <f t="shared" ref="J12:J26" si="3">H12</f>
        <v>437376821</v>
      </c>
      <c r="K12" s="532">
        <f t="shared" si="2"/>
        <v>437376821</v>
      </c>
      <c r="L12" s="6">
        <v>44413</v>
      </c>
      <c r="M12" s="6">
        <f t="shared" si="0"/>
        <v>44448</v>
      </c>
      <c r="N12" s="532">
        <v>437376821</v>
      </c>
      <c r="O12" s="6">
        <f>L12+210</f>
        <v>44623</v>
      </c>
      <c r="P12" s="532"/>
      <c r="Q12" s="532"/>
      <c r="R12" s="6"/>
      <c r="S12" s="377"/>
      <c r="T12" s="273"/>
    </row>
    <row r="13" spans="1:21" s="5" customFormat="1" ht="13.2">
      <c r="A13" s="5" t="s">
        <v>146</v>
      </c>
      <c r="B13" s="5" t="s">
        <v>146</v>
      </c>
      <c r="C13" s="5">
        <v>5398</v>
      </c>
      <c r="D13" s="5" t="s">
        <v>625</v>
      </c>
      <c r="E13" s="26" t="s">
        <v>861</v>
      </c>
      <c r="F13" s="26" t="s">
        <v>248</v>
      </c>
      <c r="G13" s="282" t="s">
        <v>769</v>
      </c>
      <c r="H13" s="532">
        <v>12000000</v>
      </c>
      <c r="I13" s="533" t="s">
        <v>146</v>
      </c>
      <c r="J13" s="532">
        <f t="shared" si="3"/>
        <v>12000000</v>
      </c>
      <c r="K13" s="532">
        <f t="shared" si="2"/>
        <v>12000000</v>
      </c>
      <c r="L13" s="6">
        <v>44413</v>
      </c>
      <c r="M13" s="6">
        <f t="shared" si="0"/>
        <v>44448</v>
      </c>
      <c r="N13" s="532">
        <v>12000000</v>
      </c>
      <c r="O13" s="6">
        <f t="shared" si="1"/>
        <v>44623</v>
      </c>
      <c r="P13" s="532"/>
      <c r="Q13" s="532"/>
      <c r="R13" s="6"/>
      <c r="S13" s="377"/>
      <c r="T13" s="273"/>
    </row>
    <row r="14" spans="1:21" s="5" customFormat="1" ht="13.2">
      <c r="A14" s="5" t="s">
        <v>146</v>
      </c>
      <c r="B14" s="5" t="s">
        <v>146</v>
      </c>
      <c r="C14" s="5">
        <v>5399</v>
      </c>
      <c r="D14" s="5" t="s">
        <v>625</v>
      </c>
      <c r="E14" s="26" t="s">
        <v>860</v>
      </c>
      <c r="F14" s="26" t="s">
        <v>248</v>
      </c>
      <c r="G14" s="282" t="s">
        <v>770</v>
      </c>
      <c r="H14" s="532">
        <v>35000000</v>
      </c>
      <c r="I14" s="533" t="s">
        <v>146</v>
      </c>
      <c r="J14" s="532">
        <f t="shared" si="3"/>
        <v>35000000</v>
      </c>
      <c r="K14" s="532">
        <f t="shared" si="2"/>
        <v>35000000</v>
      </c>
      <c r="L14" s="6">
        <v>44413</v>
      </c>
      <c r="M14" s="6">
        <f t="shared" si="0"/>
        <v>44448</v>
      </c>
      <c r="N14" s="532">
        <v>35000000</v>
      </c>
      <c r="O14" s="6">
        <f t="shared" si="1"/>
        <v>44623</v>
      </c>
      <c r="P14" s="532"/>
      <c r="Q14" s="532"/>
      <c r="R14" s="6"/>
      <c r="S14" s="377"/>
      <c r="T14" s="273"/>
    </row>
    <row r="15" spans="1:21" s="5" customFormat="1" ht="13.2">
      <c r="A15" s="5" t="s">
        <v>146</v>
      </c>
      <c r="B15" s="5" t="s">
        <v>146</v>
      </c>
      <c r="C15" s="5">
        <v>5400</v>
      </c>
      <c r="D15" s="5" t="s">
        <v>625</v>
      </c>
      <c r="E15" s="26" t="s">
        <v>309</v>
      </c>
      <c r="F15" s="26" t="s">
        <v>248</v>
      </c>
      <c r="G15" s="26" t="s">
        <v>299</v>
      </c>
      <c r="H15" s="532">
        <v>45000000</v>
      </c>
      <c r="I15" s="533" t="s">
        <v>146</v>
      </c>
      <c r="J15" s="532">
        <f t="shared" si="3"/>
        <v>45000000</v>
      </c>
      <c r="K15" s="532">
        <f t="shared" si="2"/>
        <v>45000000</v>
      </c>
      <c r="L15" s="6">
        <v>44413</v>
      </c>
      <c r="M15" s="6">
        <f t="shared" si="0"/>
        <v>44448</v>
      </c>
      <c r="N15" s="532">
        <v>45000000</v>
      </c>
      <c r="O15" s="6">
        <f t="shared" ref="O15" si="4">L15+210</f>
        <v>44623</v>
      </c>
      <c r="P15" s="532"/>
      <c r="Q15" s="532"/>
      <c r="R15" s="6"/>
      <c r="S15" s="377"/>
      <c r="T15" s="273"/>
    </row>
    <row r="16" spans="1:21" s="5" customFormat="1" ht="13.2">
      <c r="A16" s="5" t="s">
        <v>146</v>
      </c>
      <c r="B16" s="5" t="s">
        <v>146</v>
      </c>
      <c r="C16" s="5">
        <v>5401</v>
      </c>
      <c r="D16" s="5" t="s">
        <v>625</v>
      </c>
      <c r="E16" s="26" t="s">
        <v>319</v>
      </c>
      <c r="F16" s="26" t="s">
        <v>248</v>
      </c>
      <c r="G16" s="26" t="s">
        <v>78</v>
      </c>
      <c r="H16" s="532">
        <v>61000000</v>
      </c>
      <c r="I16" s="533" t="s">
        <v>146</v>
      </c>
      <c r="J16" s="532">
        <f t="shared" si="3"/>
        <v>61000000</v>
      </c>
      <c r="K16" s="532">
        <f t="shared" si="2"/>
        <v>61000000</v>
      </c>
      <c r="L16" s="6">
        <v>44413</v>
      </c>
      <c r="M16" s="6">
        <f t="shared" si="0"/>
        <v>44448</v>
      </c>
      <c r="N16" s="532">
        <v>61000000</v>
      </c>
      <c r="O16" s="6">
        <f t="shared" ref="O16" si="5">L16+210</f>
        <v>44623</v>
      </c>
      <c r="P16" s="532"/>
      <c r="Q16" s="532"/>
      <c r="R16" s="6"/>
      <c r="S16" s="377"/>
      <c r="T16" s="273"/>
    </row>
    <row r="17" spans="1:21" s="5" customFormat="1" ht="13.2">
      <c r="A17" s="5" t="s">
        <v>146</v>
      </c>
      <c r="B17" s="5" t="s">
        <v>146</v>
      </c>
      <c r="C17" s="5">
        <v>5402</v>
      </c>
      <c r="D17" s="5" t="s">
        <v>625</v>
      </c>
      <c r="E17" s="26" t="s">
        <v>437</v>
      </c>
      <c r="F17" s="26" t="s">
        <v>248</v>
      </c>
      <c r="G17" s="26" t="s">
        <v>167</v>
      </c>
      <c r="H17" s="532">
        <v>4000000</v>
      </c>
      <c r="I17" s="533" t="s">
        <v>146</v>
      </c>
      <c r="J17" s="532">
        <f t="shared" si="3"/>
        <v>4000000</v>
      </c>
      <c r="K17" s="532">
        <f t="shared" si="2"/>
        <v>4000000</v>
      </c>
      <c r="L17" s="6">
        <v>44413</v>
      </c>
      <c r="M17" s="6">
        <f t="shared" si="0"/>
        <v>44448</v>
      </c>
      <c r="N17" s="532">
        <v>4000000</v>
      </c>
      <c r="O17" s="6">
        <f t="shared" ref="O17" si="6">L17+210</f>
        <v>44623</v>
      </c>
      <c r="P17" s="532"/>
      <c r="Q17" s="532"/>
      <c r="R17" s="6"/>
      <c r="S17" s="377"/>
      <c r="T17" s="273"/>
    </row>
    <row r="18" spans="1:21" s="5" customFormat="1" ht="13.2">
      <c r="A18" s="5" t="s">
        <v>146</v>
      </c>
      <c r="B18" s="5" t="s">
        <v>146</v>
      </c>
      <c r="C18" s="5">
        <v>5403</v>
      </c>
      <c r="D18" s="5" t="s">
        <v>625</v>
      </c>
      <c r="E18" s="26" t="s">
        <v>307</v>
      </c>
      <c r="F18" s="26" t="s">
        <v>248</v>
      </c>
      <c r="G18" s="26" t="s">
        <v>165</v>
      </c>
      <c r="H18" s="532">
        <v>10000000</v>
      </c>
      <c r="I18" s="533" t="s">
        <v>146</v>
      </c>
      <c r="J18" s="532">
        <f t="shared" si="3"/>
        <v>10000000</v>
      </c>
      <c r="K18" s="532">
        <f t="shared" si="2"/>
        <v>10000000</v>
      </c>
      <c r="L18" s="6">
        <v>44413</v>
      </c>
      <c r="M18" s="6">
        <f t="shared" si="0"/>
        <v>44448</v>
      </c>
      <c r="N18" s="532">
        <v>10000000</v>
      </c>
      <c r="O18" s="6">
        <f t="shared" ref="O18" si="7">L18+210</f>
        <v>44623</v>
      </c>
      <c r="P18" s="532"/>
      <c r="Q18" s="532"/>
      <c r="R18" s="6"/>
      <c r="S18" s="377"/>
      <c r="T18" s="273"/>
    </row>
    <row r="19" spans="1:21" s="5" customFormat="1" ht="13.2">
      <c r="A19" s="5" t="s">
        <v>146</v>
      </c>
      <c r="B19" s="5" t="s">
        <v>146</v>
      </c>
      <c r="C19" s="5">
        <v>5404</v>
      </c>
      <c r="D19" s="5" t="s">
        <v>625</v>
      </c>
      <c r="E19" s="26" t="s">
        <v>868</v>
      </c>
      <c r="F19" s="26" t="s">
        <v>248</v>
      </c>
      <c r="G19" s="26" t="s">
        <v>80</v>
      </c>
      <c r="H19" s="532">
        <v>65000000</v>
      </c>
      <c r="I19" s="533" t="s">
        <v>146</v>
      </c>
      <c r="J19" s="532">
        <f t="shared" si="3"/>
        <v>65000000</v>
      </c>
      <c r="K19" s="532">
        <f t="shared" si="2"/>
        <v>65000000</v>
      </c>
      <c r="L19" s="6">
        <v>44413</v>
      </c>
      <c r="M19" s="6">
        <f t="shared" si="0"/>
        <v>44448</v>
      </c>
      <c r="N19" s="532">
        <v>65000000</v>
      </c>
      <c r="O19" s="6">
        <f t="shared" ref="O19" si="8">L19+210</f>
        <v>44623</v>
      </c>
      <c r="P19" s="532"/>
      <c r="Q19" s="532"/>
      <c r="R19" s="6"/>
      <c r="S19" s="377"/>
      <c r="T19" s="273"/>
    </row>
    <row r="20" spans="1:21" s="13" customFormat="1" ht="13.2">
      <c r="A20" s="13" t="s">
        <v>146</v>
      </c>
      <c r="B20" s="13" t="s">
        <v>146</v>
      </c>
      <c r="C20" s="13">
        <v>5405</v>
      </c>
      <c r="D20" s="13" t="s">
        <v>77</v>
      </c>
      <c r="E20" s="36" t="s">
        <v>150</v>
      </c>
      <c r="F20" s="36" t="s">
        <v>300</v>
      </c>
      <c r="G20" s="36" t="s">
        <v>152</v>
      </c>
      <c r="H20" s="434">
        <v>131186809</v>
      </c>
      <c r="I20" s="435" t="s">
        <v>146</v>
      </c>
      <c r="J20" s="434">
        <f t="shared" si="3"/>
        <v>131186809</v>
      </c>
      <c r="K20" s="434">
        <f t="shared" si="2"/>
        <v>131186809</v>
      </c>
      <c r="L20" s="11">
        <v>44413</v>
      </c>
      <c r="M20" s="11">
        <f t="shared" si="0"/>
        <v>44448</v>
      </c>
      <c r="N20" s="434">
        <v>131186809</v>
      </c>
      <c r="O20" s="11">
        <f t="shared" ref="O20" si="9">L20+210</f>
        <v>44623</v>
      </c>
      <c r="P20" s="517"/>
      <c r="Q20" s="434"/>
      <c r="R20" s="11"/>
      <c r="S20" s="466"/>
      <c r="T20" s="170"/>
    </row>
    <row r="21" spans="1:21" s="5" customFormat="1" ht="13.2">
      <c r="A21" s="5" t="s">
        <v>146</v>
      </c>
      <c r="B21" s="5" t="s">
        <v>146</v>
      </c>
      <c r="C21" s="5">
        <v>5406</v>
      </c>
      <c r="D21" s="5" t="s">
        <v>625</v>
      </c>
      <c r="E21" s="26" t="s">
        <v>311</v>
      </c>
      <c r="F21" s="26" t="s">
        <v>248</v>
      </c>
      <c r="G21" s="26" t="s">
        <v>243</v>
      </c>
      <c r="H21" s="532">
        <v>62000000</v>
      </c>
      <c r="I21" s="533" t="s">
        <v>146</v>
      </c>
      <c r="J21" s="532">
        <f t="shared" si="3"/>
        <v>62000000</v>
      </c>
      <c r="K21" s="532">
        <f t="shared" si="2"/>
        <v>62000000</v>
      </c>
      <c r="L21" s="6">
        <v>44413</v>
      </c>
      <c r="M21" s="6">
        <f t="shared" si="0"/>
        <v>44448</v>
      </c>
      <c r="N21" s="532">
        <v>62000000</v>
      </c>
      <c r="O21" s="6">
        <f t="shared" ref="O21" si="10">L21+210</f>
        <v>44623</v>
      </c>
      <c r="P21" s="532"/>
      <c r="Q21" s="532"/>
      <c r="R21" s="6"/>
      <c r="S21" s="377"/>
      <c r="T21" s="273"/>
    </row>
    <row r="22" spans="1:21" s="5" customFormat="1" ht="13.2">
      <c r="A22" s="5" t="s">
        <v>146</v>
      </c>
      <c r="B22" s="5" t="s">
        <v>146</v>
      </c>
      <c r="C22" s="5">
        <v>5407</v>
      </c>
      <c r="D22" s="5" t="s">
        <v>625</v>
      </c>
      <c r="E22" s="26" t="s">
        <v>315</v>
      </c>
      <c r="F22" s="26" t="s">
        <v>248</v>
      </c>
      <c r="G22" s="26" t="s">
        <v>304</v>
      </c>
      <c r="H22" s="532">
        <v>10000000</v>
      </c>
      <c r="I22" s="533" t="s">
        <v>146</v>
      </c>
      <c r="J22" s="532">
        <f t="shared" si="3"/>
        <v>10000000</v>
      </c>
      <c r="K22" s="532">
        <f t="shared" si="2"/>
        <v>10000000</v>
      </c>
      <c r="L22" s="6">
        <v>44413</v>
      </c>
      <c r="M22" s="6">
        <f t="shared" si="0"/>
        <v>44448</v>
      </c>
      <c r="N22" s="532">
        <v>10000000</v>
      </c>
      <c r="O22" s="6">
        <f t="shared" ref="O22" si="11">L22+210</f>
        <v>44623</v>
      </c>
      <c r="P22" s="532"/>
      <c r="Q22" s="532"/>
      <c r="R22" s="6"/>
      <c r="S22" s="377"/>
      <c r="T22" s="273"/>
    </row>
    <row r="23" spans="1:21" s="5" customFormat="1" ht="13.2">
      <c r="A23" s="5" t="s">
        <v>146</v>
      </c>
      <c r="B23" s="5" t="s">
        <v>146</v>
      </c>
      <c r="C23" s="5">
        <v>5408</v>
      </c>
      <c r="D23" s="5" t="s">
        <v>625</v>
      </c>
      <c r="E23" s="26" t="s">
        <v>308</v>
      </c>
      <c r="F23" s="26" t="s">
        <v>248</v>
      </c>
      <c r="G23" s="26" t="s">
        <v>306</v>
      </c>
      <c r="H23" s="532">
        <v>10000000</v>
      </c>
      <c r="I23" s="533" t="s">
        <v>146</v>
      </c>
      <c r="J23" s="532">
        <f t="shared" si="3"/>
        <v>10000000</v>
      </c>
      <c r="K23" s="532">
        <f t="shared" si="2"/>
        <v>10000000</v>
      </c>
      <c r="L23" s="6">
        <v>44413</v>
      </c>
      <c r="M23" s="6">
        <f t="shared" si="0"/>
        <v>44448</v>
      </c>
      <c r="N23" s="532">
        <v>10000000</v>
      </c>
      <c r="O23" s="6">
        <f t="shared" ref="O23" si="12">L23+210</f>
        <v>44623</v>
      </c>
      <c r="P23" s="532"/>
      <c r="Q23" s="532"/>
      <c r="R23" s="6"/>
      <c r="S23" s="377"/>
      <c r="T23" s="273"/>
    </row>
    <row r="24" spans="1:21" s="13" customFormat="1" ht="13.2">
      <c r="A24" s="13" t="s">
        <v>146</v>
      </c>
      <c r="B24" s="13" t="s">
        <v>146</v>
      </c>
      <c r="C24" s="13">
        <v>5409</v>
      </c>
      <c r="D24" s="13" t="s">
        <v>77</v>
      </c>
      <c r="E24" s="36" t="s">
        <v>772</v>
      </c>
      <c r="F24" s="36" t="s">
        <v>248</v>
      </c>
      <c r="G24" s="148" t="s">
        <v>773</v>
      </c>
      <c r="H24" s="434">
        <v>30000000</v>
      </c>
      <c r="I24" s="435" t="s">
        <v>146</v>
      </c>
      <c r="J24" s="434">
        <f t="shared" si="3"/>
        <v>30000000</v>
      </c>
      <c r="K24" s="434">
        <f t="shared" si="2"/>
        <v>30000000</v>
      </c>
      <c r="L24" s="11">
        <v>44413</v>
      </c>
      <c r="M24" s="11">
        <f t="shared" si="0"/>
        <v>44448</v>
      </c>
      <c r="N24" s="434">
        <v>30000000</v>
      </c>
      <c r="O24" s="11">
        <f t="shared" ref="O24" si="13">L24+210</f>
        <v>44623</v>
      </c>
      <c r="P24" s="434"/>
      <c r="Q24" s="434"/>
      <c r="R24" s="11"/>
      <c r="S24" s="466" t="s">
        <v>775</v>
      </c>
      <c r="T24" s="170"/>
    </row>
    <row r="25" spans="1:21" s="5" customFormat="1" ht="13.2">
      <c r="A25" s="5" t="s">
        <v>146</v>
      </c>
      <c r="B25" s="5" t="s">
        <v>146</v>
      </c>
      <c r="C25" s="5">
        <v>5410</v>
      </c>
      <c r="D25" s="5" t="s">
        <v>625</v>
      </c>
      <c r="E25" s="26" t="s">
        <v>862</v>
      </c>
      <c r="F25" s="26" t="s">
        <v>248</v>
      </c>
      <c r="G25" s="282" t="s">
        <v>773</v>
      </c>
      <c r="H25" s="532">
        <v>60000000</v>
      </c>
      <c r="I25" s="533" t="s">
        <v>146</v>
      </c>
      <c r="J25" s="532">
        <f t="shared" si="3"/>
        <v>60000000</v>
      </c>
      <c r="K25" s="532">
        <f t="shared" si="2"/>
        <v>60000000</v>
      </c>
      <c r="L25" s="6">
        <v>44413</v>
      </c>
      <c r="M25" s="6">
        <f t="shared" si="0"/>
        <v>44448</v>
      </c>
      <c r="N25" s="532">
        <v>60000000</v>
      </c>
      <c r="O25" s="6">
        <f t="shared" ref="O25:O26" si="14">L25+210</f>
        <v>44623</v>
      </c>
      <c r="P25" s="532"/>
      <c r="Q25" s="532"/>
      <c r="R25" s="6"/>
      <c r="S25" s="377"/>
      <c r="T25" s="273"/>
    </row>
    <row r="26" spans="1:21" s="441" customFormat="1" ht="13.2">
      <c r="A26" s="441" t="s">
        <v>146</v>
      </c>
      <c r="B26" s="441" t="s">
        <v>146</v>
      </c>
      <c r="C26" s="441">
        <v>5411</v>
      </c>
      <c r="D26" s="441" t="s">
        <v>77</v>
      </c>
      <c r="E26" s="442" t="s">
        <v>150</v>
      </c>
      <c r="F26" s="442" t="s">
        <v>300</v>
      </c>
      <c r="G26" s="442" t="s">
        <v>152</v>
      </c>
      <c r="H26" s="578">
        <v>350000000</v>
      </c>
      <c r="I26" s="579" t="s">
        <v>146</v>
      </c>
      <c r="J26" s="578">
        <f t="shared" si="3"/>
        <v>350000000</v>
      </c>
      <c r="K26" s="578">
        <f>J26</f>
        <v>350000000</v>
      </c>
      <c r="L26" s="443">
        <v>44418</v>
      </c>
      <c r="M26" s="443">
        <f t="shared" si="0"/>
        <v>44453</v>
      </c>
      <c r="N26" s="578">
        <v>350000000</v>
      </c>
      <c r="O26" s="443">
        <f t="shared" si="14"/>
        <v>44628</v>
      </c>
      <c r="P26" s="578"/>
      <c r="Q26" s="578"/>
      <c r="R26" s="443"/>
      <c r="S26" s="511"/>
      <c r="T26" s="580"/>
    </row>
    <row r="27" spans="1:21" s="534" customFormat="1" ht="13.2">
      <c r="A27" s="534" t="s">
        <v>146</v>
      </c>
      <c r="B27" s="534" t="s">
        <v>146</v>
      </c>
      <c r="C27" s="534" t="s">
        <v>783</v>
      </c>
      <c r="D27" s="534" t="s">
        <v>43</v>
      </c>
      <c r="E27" s="535" t="s">
        <v>76</v>
      </c>
      <c r="F27" s="535" t="s">
        <v>248</v>
      </c>
      <c r="G27" s="535" t="s">
        <v>152</v>
      </c>
      <c r="H27" s="539"/>
      <c r="I27" s="540"/>
      <c r="J27" s="539"/>
      <c r="K27" s="539"/>
      <c r="L27" s="537"/>
      <c r="M27" s="537"/>
      <c r="N27" s="539"/>
      <c r="O27" s="537"/>
      <c r="P27" s="539"/>
      <c r="Q27" s="539"/>
      <c r="R27" s="537"/>
      <c r="S27" s="541"/>
      <c r="T27" s="542"/>
    </row>
    <row r="28" spans="1:21" s="534" customFormat="1" ht="13.2">
      <c r="A28" s="534" t="s">
        <v>146</v>
      </c>
      <c r="B28" s="534" t="s">
        <v>146</v>
      </c>
      <c r="C28" s="534" t="s">
        <v>796</v>
      </c>
      <c r="D28" s="534" t="s">
        <v>43</v>
      </c>
      <c r="E28" s="535" t="s">
        <v>797</v>
      </c>
      <c r="F28" s="535" t="s">
        <v>300</v>
      </c>
      <c r="G28" s="543" t="s">
        <v>798</v>
      </c>
      <c r="H28" s="539"/>
      <c r="I28" s="540"/>
      <c r="J28" s="539"/>
      <c r="K28" s="539"/>
      <c r="L28" s="537"/>
      <c r="M28" s="537"/>
      <c r="N28" s="539"/>
      <c r="O28" s="537"/>
      <c r="P28" s="539"/>
      <c r="Q28" s="539"/>
      <c r="R28" s="537"/>
      <c r="T28" s="542"/>
    </row>
    <row r="29" spans="1:21" s="5" customFormat="1" ht="13.2">
      <c r="D29" s="13"/>
      <c r="E29" s="26"/>
      <c r="F29" s="26"/>
      <c r="G29" s="282"/>
      <c r="H29" s="73"/>
      <c r="I29" s="115"/>
      <c r="J29" s="73"/>
      <c r="K29" s="73"/>
      <c r="L29" s="6"/>
      <c r="M29" s="6"/>
      <c r="N29" s="46"/>
      <c r="O29" s="6"/>
      <c r="P29" s="73"/>
      <c r="Q29" s="73"/>
      <c r="R29" s="52"/>
      <c r="S29" s="13"/>
      <c r="T29" s="170"/>
      <c r="U29" s="13"/>
    </row>
    <row r="30" spans="1:21" s="13" customFormat="1">
      <c r="A30" s="43"/>
      <c r="B30" s="43"/>
      <c r="C30" s="43"/>
      <c r="D30" s="43"/>
      <c r="E30" s="1"/>
      <c r="F30" s="13" t="s">
        <v>19</v>
      </c>
      <c r="H30" s="262">
        <f>SUM(H9:H29)</f>
        <v>1795408630</v>
      </c>
      <c r="I30" s="66"/>
      <c r="J30" s="262">
        <f>SUM(J9:J29)</f>
        <v>1795408630</v>
      </c>
      <c r="K30" s="262">
        <f>SUM(K9:K29)</f>
        <v>1795408630</v>
      </c>
      <c r="L30" s="11"/>
      <c r="M30" s="10"/>
      <c r="N30" s="262">
        <f>SUM(N9:N29)</f>
        <v>1745273517.9000001</v>
      </c>
      <c r="O30" s="11"/>
      <c r="P30" s="262">
        <f>SUM(P9:P29)</f>
        <v>0</v>
      </c>
      <c r="Q30" s="262">
        <f>SUM(Q9:Q29)</f>
        <v>472845000</v>
      </c>
    </row>
    <row r="31" spans="1:21">
      <c r="A31" s="5"/>
      <c r="B31" s="5"/>
      <c r="C31" s="5"/>
      <c r="D31" s="88"/>
      <c r="F31" s="13"/>
      <c r="H31" s="76"/>
      <c r="I31" s="1"/>
      <c r="J31" s="11"/>
      <c r="K31" s="11"/>
      <c r="L31" s="11"/>
      <c r="M31" s="6"/>
      <c r="N31" s="1"/>
      <c r="O31" s="11"/>
      <c r="P31" s="1"/>
      <c r="Q31" s="13"/>
    </row>
    <row r="32" spans="1:21">
      <c r="A32" s="5"/>
      <c r="B32" s="5"/>
      <c r="C32" s="5"/>
      <c r="E32" s="5"/>
      <c r="F32" s="13" t="s">
        <v>43</v>
      </c>
      <c r="G32" s="5"/>
      <c r="H32" s="34">
        <f>J30-K30</f>
        <v>0</v>
      </c>
      <c r="I32" s="9"/>
      <c r="J32" s="1"/>
      <c r="K32" s="1"/>
      <c r="L32" s="9"/>
      <c r="N32" s="1"/>
      <c r="O32" s="3"/>
      <c r="P32" s="1"/>
      <c r="Q32" s="13"/>
    </row>
    <row r="33" spans="1:17">
      <c r="A33" s="5"/>
      <c r="B33" s="5"/>
      <c r="C33" s="5"/>
      <c r="E33" s="5"/>
      <c r="G33" s="5"/>
      <c r="H33" s="67"/>
      <c r="I33" s="9"/>
      <c r="J33" s="1"/>
      <c r="K33" s="167"/>
      <c r="L33" s="9"/>
      <c r="N33" s="1"/>
      <c r="O33" s="3"/>
      <c r="P33" s="1"/>
      <c r="Q33" s="13"/>
    </row>
    <row r="34" spans="1:17">
      <c r="A34" s="5"/>
      <c r="B34" s="5"/>
      <c r="C34" s="5"/>
      <c r="E34" s="133"/>
      <c r="F34" s="58" t="s">
        <v>10</v>
      </c>
      <c r="G34" s="5"/>
      <c r="H34" s="77">
        <f>E1-K30+Q30+G39</f>
        <v>19304460</v>
      </c>
      <c r="I34" s="194"/>
      <c r="J34" s="171"/>
      <c r="K34" s="549"/>
      <c r="L34" s="9"/>
      <c r="M34" s="167"/>
      <c r="N34" s="83"/>
      <c r="P34" s="1"/>
      <c r="Q34" s="13"/>
    </row>
    <row r="35" spans="1:17">
      <c r="E35" s="58"/>
      <c r="F35" s="5"/>
      <c r="G35" s="5"/>
      <c r="H35" s="445"/>
      <c r="I35" s="194"/>
      <c r="J35" s="404"/>
      <c r="K35" s="550"/>
      <c r="L35" s="9"/>
      <c r="M35" s="168"/>
      <c r="N35" s="83"/>
      <c r="Q35" s="1"/>
    </row>
    <row r="36" spans="1:17">
      <c r="E36" s="58"/>
      <c r="F36" s="4"/>
      <c r="G36" s="124"/>
      <c r="H36" s="124"/>
      <c r="I36" s="187"/>
      <c r="J36" s="187"/>
      <c r="K36" s="362"/>
      <c r="L36" s="83"/>
      <c r="M36" s="167"/>
      <c r="N36" s="1"/>
      <c r="O36" s="171"/>
      <c r="P36" s="9"/>
      <c r="Q36" s="1"/>
    </row>
    <row r="37" spans="1:17">
      <c r="I37" s="187"/>
      <c r="J37" s="187"/>
      <c r="K37" s="396"/>
      <c r="L37" s="83"/>
      <c r="M37" s="167"/>
      <c r="N37" s="1"/>
      <c r="O37" s="171"/>
      <c r="P37" s="9"/>
      <c r="Q37" s="1"/>
    </row>
    <row r="38" spans="1:17">
      <c r="A38" s="13"/>
      <c r="B38" s="13"/>
      <c r="C38" s="13">
        <v>5225</v>
      </c>
      <c r="D38" s="13" t="s">
        <v>77</v>
      </c>
      <c r="E38" s="13" t="s">
        <v>268</v>
      </c>
      <c r="F38" s="13" t="s">
        <v>392</v>
      </c>
      <c r="G38" s="529">
        <v>30000000</v>
      </c>
      <c r="H38" s="287" t="s">
        <v>774</v>
      </c>
      <c r="I38" s="408"/>
      <c r="J38" s="171"/>
      <c r="K38" s="171"/>
      <c r="L38" s="83"/>
      <c r="M38" s="171"/>
      <c r="N38" s="1"/>
      <c r="O38" s="167"/>
      <c r="Q38" s="1"/>
    </row>
    <row r="39" spans="1:17">
      <c r="E39" s="148"/>
      <c r="F39" s="133"/>
      <c r="G39" s="313">
        <f>SUM(G38:G38)</f>
        <v>30000000</v>
      </c>
      <c r="H39" s="124"/>
      <c r="I39" s="189"/>
      <c r="K39" s="402"/>
      <c r="L39" s="83"/>
      <c r="M39" s="167"/>
      <c r="N39" s="1"/>
      <c r="Q39" s="1"/>
    </row>
    <row r="40" spans="1:17">
      <c r="E40" s="58"/>
      <c r="F40" s="133"/>
      <c r="G40" s="530"/>
      <c r="H40" s="124"/>
      <c r="I40" s="191"/>
      <c r="K40" s="403"/>
      <c r="L40" s="9"/>
      <c r="N40" s="1"/>
      <c r="Q40" s="1"/>
    </row>
    <row r="41" spans="1:17">
      <c r="G41" s="260"/>
      <c r="I41" s="171"/>
      <c r="K41" s="167"/>
      <c r="L41" s="3"/>
      <c r="Q41" s="1"/>
    </row>
    <row r="42" spans="1:17">
      <c r="G42" s="250"/>
      <c r="H42" s="365"/>
      <c r="I42" s="194"/>
      <c r="K42" s="265"/>
      <c r="Q42" s="1"/>
    </row>
    <row r="43" spans="1:17">
      <c r="G43" s="250"/>
      <c r="H43" s="1"/>
      <c r="I43" s="194"/>
      <c r="K43" s="265"/>
      <c r="Q43" s="1"/>
    </row>
    <row r="44" spans="1:17">
      <c r="H44" s="1"/>
      <c r="I44" s="194"/>
      <c r="K44" s="265"/>
      <c r="Q44" s="1"/>
    </row>
    <row r="45" spans="1:17">
      <c r="H45" s="204"/>
      <c r="I45" s="194"/>
      <c r="Q45" s="1"/>
    </row>
    <row r="46" spans="1:17">
      <c r="H46" s="73"/>
      <c r="I46" s="194"/>
      <c r="Q46" s="1"/>
    </row>
    <row r="47" spans="1:17">
      <c r="H47" s="73"/>
      <c r="I47" s="194"/>
    </row>
    <row r="48" spans="1:17">
      <c r="H48" s="71"/>
    </row>
    <row r="49" spans="6:17">
      <c r="H49" s="73"/>
    </row>
    <row r="50" spans="6:17">
      <c r="H50" s="528"/>
    </row>
    <row r="51" spans="6:17">
      <c r="H51" s="73"/>
    </row>
    <row r="52" spans="6:17">
      <c r="F52" s="1" t="s">
        <v>7</v>
      </c>
      <c r="H52" s="73"/>
      <c r="I52" s="1"/>
      <c r="J52" s="1"/>
      <c r="K52" s="1"/>
      <c r="N52" s="1"/>
      <c r="P52" s="1"/>
      <c r="Q52" s="1"/>
    </row>
    <row r="53" spans="6:17">
      <c r="H53" s="204"/>
    </row>
    <row r="54" spans="6:17">
      <c r="H54" s="204"/>
    </row>
  </sheetData>
  <phoneticPr fontId="0" type="noConversion"/>
  <pageMargins left="0.75" right="0.75" top="1" bottom="1" header="0.5" footer="0.5"/>
  <pageSetup scale="48" fitToHeight="2"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pageSetUpPr fitToPage="1"/>
  </sheetPr>
  <dimension ref="A1:V23"/>
  <sheetViews>
    <sheetView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1" style="13" bestFit="1" customWidth="1"/>
    <col min="5" max="5" width="20.75" style="13" customWidth="1"/>
    <col min="6" max="6" width="37.25" style="13" bestFit="1" customWidth="1"/>
    <col min="7" max="7" width="11.25" style="13" bestFit="1" customWidth="1"/>
    <col min="8" max="8" width="13.875" style="34" bestFit="1" customWidth="1"/>
    <col min="9" max="9" width="13.25" style="34" bestFit="1" customWidth="1"/>
    <col min="10" max="10" width="15.25" style="13" bestFit="1" customWidth="1"/>
    <col min="11" max="11" width="10.875" style="13" bestFit="1" customWidth="1"/>
    <col min="12" max="12" width="13.625" style="34" customWidth="1"/>
    <col min="13" max="13" width="10.875" style="13" bestFit="1" customWidth="1"/>
    <col min="14" max="14" width="15.75" style="35" bestFit="1" customWidth="1"/>
    <col min="15" max="15" width="13.75" style="34" bestFit="1" customWidth="1"/>
    <col min="16" max="16" width="10.125" style="13" bestFit="1" customWidth="1"/>
    <col min="17" max="16384" width="10.875" style="13"/>
  </cols>
  <sheetData>
    <row r="1" spans="1:22">
      <c r="A1" s="16" t="s">
        <v>47</v>
      </c>
      <c r="B1" s="290"/>
      <c r="C1" s="290"/>
      <c r="D1" s="17"/>
      <c r="E1" s="378">
        <f>Totals!D8</f>
        <v>406780803</v>
      </c>
      <c r="F1" s="18"/>
      <c r="G1" s="18"/>
      <c r="H1" s="330"/>
      <c r="I1" s="331"/>
      <c r="J1" s="283"/>
      <c r="K1" s="283"/>
      <c r="L1" s="331"/>
      <c r="M1" s="283"/>
      <c r="N1" s="330"/>
      <c r="O1" s="330"/>
      <c r="P1" s="23"/>
    </row>
    <row r="2" spans="1:22">
      <c r="A2" s="25" t="s">
        <v>0</v>
      </c>
      <c r="B2" s="48"/>
      <c r="C2" s="48"/>
      <c r="D2" s="5"/>
      <c r="E2" s="26"/>
      <c r="F2" s="26"/>
      <c r="G2" s="26"/>
      <c r="H2" s="46"/>
      <c r="I2" s="47"/>
      <c r="J2" s="6"/>
      <c r="K2" s="6"/>
      <c r="L2" s="47"/>
      <c r="M2" s="6"/>
      <c r="N2" s="46"/>
      <c r="O2" s="46"/>
      <c r="P2" s="106"/>
    </row>
    <row r="3" spans="1:22">
      <c r="A3" s="31"/>
      <c r="B3" s="5"/>
      <c r="C3" s="5"/>
      <c r="D3" s="5"/>
      <c r="E3" s="5"/>
      <c r="F3" s="5"/>
      <c r="G3" s="5"/>
      <c r="H3" s="46"/>
      <c r="I3" s="126"/>
      <c r="J3" s="6"/>
      <c r="K3" s="6"/>
      <c r="L3" s="210"/>
      <c r="M3" s="6"/>
      <c r="N3" s="54"/>
      <c r="O3" s="54"/>
      <c r="P3" s="106"/>
    </row>
    <row r="4" spans="1:22">
      <c r="A4" s="31" t="s">
        <v>206</v>
      </c>
      <c r="B4" s="5" t="s">
        <v>208</v>
      </c>
      <c r="C4" s="5" t="s">
        <v>32</v>
      </c>
      <c r="D4" s="5" t="s">
        <v>37</v>
      </c>
      <c r="E4" s="5" t="s">
        <v>31</v>
      </c>
      <c r="F4" s="26" t="s">
        <v>49</v>
      </c>
      <c r="G4" s="26" t="s">
        <v>45</v>
      </c>
      <c r="H4" s="84" t="s">
        <v>23</v>
      </c>
      <c r="I4" s="32" t="s">
        <v>8</v>
      </c>
      <c r="J4" s="6" t="s">
        <v>14</v>
      </c>
      <c r="K4" s="6" t="s">
        <v>34</v>
      </c>
      <c r="L4" s="32" t="s">
        <v>4</v>
      </c>
      <c r="M4" s="6" t="s">
        <v>155</v>
      </c>
      <c r="N4" s="32" t="s">
        <v>27</v>
      </c>
      <c r="O4" s="32" t="s">
        <v>44</v>
      </c>
      <c r="P4" s="106" t="s">
        <v>28</v>
      </c>
    </row>
    <row r="5" spans="1:22">
      <c r="A5" s="31" t="s">
        <v>207</v>
      </c>
      <c r="B5" s="5" t="s">
        <v>207</v>
      </c>
      <c r="C5" s="5" t="s">
        <v>48</v>
      </c>
      <c r="E5" s="5"/>
      <c r="F5" s="26"/>
      <c r="G5" s="26"/>
      <c r="H5" s="84" t="s">
        <v>42</v>
      </c>
      <c r="I5" s="32" t="s">
        <v>42</v>
      </c>
      <c r="J5" s="6" t="s">
        <v>9</v>
      </c>
      <c r="K5" s="6" t="s">
        <v>18</v>
      </c>
      <c r="L5" s="32" t="s">
        <v>42</v>
      </c>
      <c r="M5" s="6" t="s">
        <v>18</v>
      </c>
      <c r="N5" s="32" t="s">
        <v>42</v>
      </c>
      <c r="O5" s="32" t="s">
        <v>42</v>
      </c>
      <c r="P5" s="106" t="s">
        <v>5</v>
      </c>
    </row>
    <row r="6" spans="1:22" s="5" customFormat="1" ht="12.6" thickBot="1">
      <c r="A6" s="37"/>
      <c r="B6" s="33"/>
      <c r="C6" s="33" t="s">
        <v>173</v>
      </c>
      <c r="D6" s="38"/>
      <c r="E6" s="33"/>
      <c r="F6" s="39"/>
      <c r="G6" s="39"/>
      <c r="H6" s="130"/>
      <c r="I6" s="55"/>
      <c r="J6" s="40"/>
      <c r="K6" s="40"/>
      <c r="L6" s="55"/>
      <c r="M6" s="40"/>
      <c r="N6" s="55"/>
      <c r="O6" s="55"/>
      <c r="P6" s="107" t="s">
        <v>9</v>
      </c>
      <c r="Q6" s="13"/>
      <c r="R6" s="13"/>
      <c r="S6" s="13"/>
      <c r="T6" s="13"/>
      <c r="U6" s="13"/>
      <c r="V6" s="13"/>
    </row>
    <row r="7" spans="1:22" s="441" customFormat="1">
      <c r="A7" s="293" t="s">
        <v>146</v>
      </c>
      <c r="B7" s="293" t="s">
        <v>146</v>
      </c>
      <c r="C7" s="293">
        <v>5269</v>
      </c>
      <c r="D7" s="441" t="s">
        <v>391</v>
      </c>
      <c r="E7" s="441" t="s">
        <v>372</v>
      </c>
      <c r="F7" s="442" t="s">
        <v>451</v>
      </c>
      <c r="G7" s="441" t="s">
        <v>152</v>
      </c>
      <c r="H7" s="386">
        <v>150000000</v>
      </c>
      <c r="I7" s="386">
        <v>150000000</v>
      </c>
      <c r="J7" s="443">
        <v>44201</v>
      </c>
      <c r="K7" s="443">
        <f>J7+35</f>
        <v>44236</v>
      </c>
      <c r="L7" s="453">
        <v>150000000</v>
      </c>
      <c r="M7" s="443">
        <f>J7+210</f>
        <v>44411</v>
      </c>
      <c r="N7" s="523">
        <v>99734175.049999997</v>
      </c>
      <c r="O7" s="523">
        <f>L7-N7</f>
        <v>50265824.950000003</v>
      </c>
      <c r="P7" s="443">
        <v>44358</v>
      </c>
      <c r="Q7" s="452"/>
    </row>
    <row r="8" spans="1:22">
      <c r="A8" s="105"/>
      <c r="B8" s="105"/>
      <c r="C8" s="105"/>
      <c r="F8" s="36"/>
      <c r="H8" s="288"/>
      <c r="I8" s="288"/>
      <c r="J8" s="11"/>
      <c r="K8" s="11"/>
      <c r="L8" s="67"/>
      <c r="M8" s="11"/>
      <c r="N8" s="398"/>
      <c r="O8" s="398"/>
      <c r="P8" s="11"/>
      <c r="Q8" s="43"/>
    </row>
    <row r="9" spans="1:22">
      <c r="A9" s="105"/>
      <c r="B9" s="105"/>
      <c r="C9" s="105"/>
      <c r="F9" s="36"/>
      <c r="H9" s="288"/>
      <c r="I9" s="288"/>
      <c r="J9" s="11"/>
      <c r="K9" s="11"/>
      <c r="L9" s="67"/>
      <c r="M9" s="11"/>
      <c r="N9" s="398"/>
      <c r="O9" s="397"/>
      <c r="P9" s="11"/>
      <c r="Q9" s="43"/>
    </row>
    <row r="10" spans="1:22">
      <c r="A10" s="43"/>
      <c r="B10" s="43"/>
      <c r="C10" s="43"/>
      <c r="D10" s="43"/>
      <c r="E10" s="1"/>
      <c r="F10" s="13" t="s">
        <v>19</v>
      </c>
      <c r="H10" s="262">
        <f>SUM(H7:H9)</f>
        <v>150000000</v>
      </c>
      <c r="I10" s="262">
        <f>SUM(I7:I9)</f>
        <v>150000000</v>
      </c>
      <c r="J10" s="10"/>
      <c r="K10" s="10"/>
      <c r="L10" s="262">
        <f>SUM(L7:L9)</f>
        <v>150000000</v>
      </c>
      <c r="M10" s="10"/>
      <c r="N10" s="262">
        <f t="shared" ref="N10:O10" si="0">SUM(N7:N9)</f>
        <v>99734175.049999997</v>
      </c>
      <c r="O10" s="262">
        <f t="shared" si="0"/>
        <v>50265824.950000003</v>
      </c>
    </row>
    <row r="11" spans="1:22" s="1" customFormat="1">
      <c r="A11" s="5"/>
      <c r="B11" s="5"/>
      <c r="C11" s="5"/>
      <c r="D11" s="88"/>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10</v>
      </c>
      <c r="G14" s="5"/>
      <c r="H14" s="77">
        <f>E1-I10+O10+G18</f>
        <v>307046627.94999999</v>
      </c>
      <c r="I14" s="291"/>
      <c r="J14" s="138"/>
      <c r="L14" s="9"/>
      <c r="M14" s="138"/>
      <c r="Q14" s="13"/>
    </row>
    <row r="15" spans="1:22">
      <c r="L15" s="35"/>
      <c r="O15" s="147"/>
    </row>
    <row r="16" spans="1:22">
      <c r="O16" s="147"/>
    </row>
    <row r="17" spans="5:12" s="13" customFormat="1">
      <c r="E17" s="5"/>
      <c r="F17" s="5"/>
      <c r="G17" s="90"/>
      <c r="H17" s="34"/>
      <c r="I17" s="374"/>
      <c r="J17" s="374"/>
      <c r="L17" s="35"/>
    </row>
    <row r="18" spans="5:12" s="13" customFormat="1">
      <c r="G18" s="313">
        <f>SUM(G16:G17)</f>
        <v>0</v>
      </c>
      <c r="H18" s="145"/>
      <c r="I18" s="34"/>
      <c r="L18" s="35"/>
    </row>
    <row r="19" spans="5:12" s="13" customFormat="1">
      <c r="E19" s="5"/>
      <c r="F19" s="5"/>
      <c r="G19" s="5"/>
      <c r="H19" s="35"/>
      <c r="I19" s="34"/>
      <c r="L19" s="34"/>
    </row>
    <row r="20" spans="5:12" s="13" customFormat="1">
      <c r="G20" s="98"/>
      <c r="H20" s="34"/>
      <c r="I20" s="34"/>
      <c r="L20" s="35"/>
    </row>
    <row r="21" spans="5:12" s="13" customFormat="1">
      <c r="G21" s="98"/>
      <c r="H21" s="135"/>
      <c r="I21" s="34"/>
      <c r="L21" s="34"/>
    </row>
    <row r="22" spans="5:12" s="13" customFormat="1">
      <c r="G22" s="117"/>
      <c r="H22" s="134"/>
      <c r="I22" s="34"/>
      <c r="L22" s="34"/>
    </row>
    <row r="23" spans="5:12" s="13" customFormat="1">
      <c r="G23" s="117"/>
      <c r="H23" s="134"/>
      <c r="I23" s="34"/>
      <c r="L23" s="34"/>
    </row>
  </sheetData>
  <phoneticPr fontId="0" type="noConversion"/>
  <pageMargins left="0.75" right="0.75" top="1" bottom="1" header="0.5" footer="0.5"/>
  <pageSetup scale="60"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249977111117893"/>
    <pageSetUpPr fitToPage="1"/>
  </sheetPr>
  <dimension ref="A1:V29"/>
  <sheetViews>
    <sheetView zoomScaleNormal="100" workbookViewId="0">
      <selection activeCell="H14" sqref="H14"/>
    </sheetView>
  </sheetViews>
  <sheetFormatPr defaultColWidth="10.875" defaultRowHeight="12"/>
  <cols>
    <col min="1" max="1" width="9.625" style="105" customWidth="1"/>
    <col min="2" max="2" width="7.125" style="105" bestFit="1" customWidth="1"/>
    <col min="3" max="3" width="10.125" style="105" bestFit="1" customWidth="1"/>
    <col min="4" max="4" width="12.125" style="105" bestFit="1" customWidth="1"/>
    <col min="5" max="5" width="17.875" style="105" bestFit="1" customWidth="1"/>
    <col min="6" max="6" width="25.25" style="105" customWidth="1"/>
    <col min="7" max="7" width="11.25" style="105" bestFit="1" customWidth="1"/>
    <col min="8" max="8" width="13.875" style="110" bestFit="1" customWidth="1"/>
    <col min="9" max="9" width="12.75" style="110" bestFit="1" customWidth="1"/>
    <col min="10" max="10" width="15.25" style="105" bestFit="1" customWidth="1"/>
    <col min="11" max="11" width="10.875" style="105" bestFit="1" customWidth="1"/>
    <col min="12" max="12" width="12.625" style="110" bestFit="1" customWidth="1"/>
    <col min="13" max="13" width="10.875" style="105" customWidth="1"/>
    <col min="14" max="14" width="15.25" style="110" bestFit="1" customWidth="1"/>
    <col min="15" max="15" width="12.25" style="110" bestFit="1" customWidth="1"/>
    <col min="16" max="16" width="10.625" style="105" bestFit="1" customWidth="1"/>
    <col min="17" max="16384" width="10.875" style="105"/>
  </cols>
  <sheetData>
    <row r="1" spans="1:22" s="102" customFormat="1">
      <c r="A1" s="16" t="s">
        <v>24</v>
      </c>
      <c r="B1" s="290"/>
      <c r="C1" s="290"/>
      <c r="D1" s="17"/>
      <c r="E1" s="381">
        <f>Totals!E8</f>
        <v>81356160</v>
      </c>
      <c r="F1" s="18"/>
      <c r="G1" s="18"/>
      <c r="H1" s="330"/>
      <c r="I1" s="331"/>
      <c r="J1" s="283"/>
      <c r="K1" s="283"/>
      <c r="L1" s="331"/>
      <c r="M1" s="283"/>
      <c r="N1" s="330"/>
      <c r="O1" s="330"/>
      <c r="P1" s="23"/>
      <c r="Q1" s="105"/>
      <c r="R1" s="105"/>
      <c r="S1" s="105"/>
      <c r="T1" s="105"/>
      <c r="U1" s="105"/>
      <c r="V1" s="105"/>
    </row>
    <row r="2" spans="1:22">
      <c r="A2" s="25" t="s">
        <v>36</v>
      </c>
      <c r="B2" s="48"/>
      <c r="C2" s="48"/>
      <c r="D2" s="5"/>
      <c r="E2" s="26"/>
      <c r="F2" s="26"/>
      <c r="G2" s="26"/>
      <c r="H2" s="46"/>
      <c r="I2" s="47"/>
      <c r="J2" s="6"/>
      <c r="K2" s="6"/>
      <c r="L2" s="47"/>
      <c r="M2" s="6"/>
      <c r="N2" s="46"/>
      <c r="O2" s="46"/>
      <c r="P2" s="106"/>
    </row>
    <row r="3" spans="1:22">
      <c r="A3" s="31"/>
      <c r="B3" s="5"/>
      <c r="C3" s="5"/>
      <c r="D3" s="5"/>
      <c r="E3" s="5"/>
      <c r="F3" s="5"/>
      <c r="G3" s="5"/>
      <c r="H3" s="46"/>
      <c r="I3" s="126"/>
      <c r="J3" s="6"/>
      <c r="K3" s="6"/>
      <c r="L3" s="210"/>
      <c r="M3" s="6"/>
      <c r="N3" s="54"/>
      <c r="O3" s="54"/>
      <c r="P3" s="106"/>
    </row>
    <row r="4" spans="1:22" s="103" customFormat="1">
      <c r="A4" s="31" t="s">
        <v>206</v>
      </c>
      <c r="B4" s="5" t="s">
        <v>208</v>
      </c>
      <c r="C4" s="5" t="s">
        <v>32</v>
      </c>
      <c r="D4" s="5" t="s">
        <v>37</v>
      </c>
      <c r="E4" s="5" t="s">
        <v>31</v>
      </c>
      <c r="F4" s="26" t="s">
        <v>49</v>
      </c>
      <c r="G4" s="26" t="s">
        <v>45</v>
      </c>
      <c r="H4" s="84" t="s">
        <v>23</v>
      </c>
      <c r="I4" s="32" t="s">
        <v>8</v>
      </c>
      <c r="J4" s="6" t="s">
        <v>14</v>
      </c>
      <c r="K4" s="6" t="s">
        <v>34</v>
      </c>
      <c r="L4" s="32" t="s">
        <v>4</v>
      </c>
      <c r="M4" s="6" t="s">
        <v>156</v>
      </c>
      <c r="N4" s="32" t="s">
        <v>27</v>
      </c>
      <c r="O4" s="32" t="s">
        <v>44</v>
      </c>
      <c r="P4" s="106" t="s">
        <v>22</v>
      </c>
      <c r="Q4" s="105"/>
      <c r="R4" s="105"/>
      <c r="S4" s="105"/>
      <c r="T4" s="105"/>
      <c r="U4" s="105"/>
      <c r="V4" s="105"/>
    </row>
    <row r="5" spans="1:22" s="103" customFormat="1">
      <c r="A5" s="31" t="s">
        <v>207</v>
      </c>
      <c r="B5" s="5" t="s">
        <v>207</v>
      </c>
      <c r="C5" s="5" t="s">
        <v>48</v>
      </c>
      <c r="D5" s="13"/>
      <c r="E5" s="5"/>
      <c r="F5" s="26"/>
      <c r="G5" s="26"/>
      <c r="H5" s="84" t="s">
        <v>42</v>
      </c>
      <c r="I5" s="32" t="s">
        <v>42</v>
      </c>
      <c r="J5" s="6" t="s">
        <v>9</v>
      </c>
      <c r="K5" s="6" t="s">
        <v>18</v>
      </c>
      <c r="L5" s="32" t="s">
        <v>42</v>
      </c>
      <c r="M5" s="6" t="s">
        <v>18</v>
      </c>
      <c r="N5" s="32" t="s">
        <v>42</v>
      </c>
      <c r="O5" s="32" t="s">
        <v>42</v>
      </c>
      <c r="P5" s="106" t="s">
        <v>5</v>
      </c>
      <c r="Q5" s="105"/>
      <c r="R5" s="105"/>
      <c r="S5" s="105"/>
      <c r="T5" s="105"/>
      <c r="U5" s="105"/>
      <c r="V5" s="105"/>
    </row>
    <row r="6" spans="1:22" s="103" customFormat="1" ht="12.6" thickBot="1">
      <c r="A6" s="37"/>
      <c r="B6" s="33"/>
      <c r="C6" s="33" t="s">
        <v>173</v>
      </c>
      <c r="D6" s="38"/>
      <c r="E6" s="33"/>
      <c r="F6" s="39"/>
      <c r="G6" s="39"/>
      <c r="H6" s="130"/>
      <c r="I6" s="55"/>
      <c r="J6" s="40"/>
      <c r="K6" s="40"/>
      <c r="L6" s="55"/>
      <c r="M6" s="40"/>
      <c r="N6" s="55"/>
      <c r="O6" s="55"/>
      <c r="P6" s="107" t="s">
        <v>9</v>
      </c>
      <c r="Q6" s="105"/>
      <c r="R6" s="105"/>
      <c r="S6" s="105"/>
      <c r="T6" s="105"/>
      <c r="U6" s="105"/>
      <c r="V6" s="105"/>
    </row>
    <row r="7" spans="1:22" s="441" customFormat="1">
      <c r="A7" s="293"/>
      <c r="B7" s="293"/>
      <c r="C7" s="293"/>
      <c r="F7" s="442"/>
      <c r="H7" s="386"/>
      <c r="I7" s="386"/>
      <c r="J7" s="443"/>
      <c r="K7" s="443"/>
      <c r="L7" s="453"/>
      <c r="M7" s="443"/>
      <c r="N7" s="453"/>
      <c r="O7" s="453"/>
      <c r="P7" s="443"/>
      <c r="Q7" s="452"/>
    </row>
    <row r="8" spans="1:22" s="13" customFormat="1">
      <c r="A8" s="105"/>
      <c r="B8" s="105"/>
      <c r="C8" s="105"/>
      <c r="F8" s="36"/>
      <c r="H8" s="288"/>
      <c r="I8" s="288"/>
      <c r="J8" s="11"/>
      <c r="K8" s="11"/>
      <c r="L8" s="67"/>
      <c r="M8" s="11"/>
      <c r="N8" s="67"/>
      <c r="O8" s="67"/>
      <c r="P8" s="11"/>
      <c r="Q8" s="43"/>
    </row>
    <row r="9" spans="1:22" customFormat="1">
      <c r="A9" s="43"/>
      <c r="B9" s="43"/>
      <c r="C9" s="43"/>
      <c r="D9" s="464"/>
      <c r="E9" s="43"/>
      <c r="F9" s="148"/>
      <c r="G9" s="148"/>
      <c r="H9" s="59"/>
      <c r="I9" s="59"/>
      <c r="J9" s="152"/>
      <c r="K9" s="152"/>
      <c r="L9" s="465"/>
      <c r="M9" s="152"/>
      <c r="N9" s="465"/>
      <c r="O9" s="465"/>
      <c r="P9" s="199"/>
    </row>
    <row r="10" spans="1:22" s="13" customFormat="1">
      <c r="A10" s="43"/>
      <c r="B10" s="43"/>
      <c r="C10" s="43"/>
      <c r="D10" s="43"/>
      <c r="E10" s="1"/>
      <c r="F10" s="13" t="s">
        <v>19</v>
      </c>
      <c r="H10" s="262">
        <f>SUM(H7:H9)</f>
        <v>0</v>
      </c>
      <c r="I10" s="262">
        <f>SUM(I7:I9)</f>
        <v>0</v>
      </c>
      <c r="J10" s="10"/>
      <c r="K10" s="10"/>
      <c r="L10" s="262">
        <f>SUM(L7:L9)</f>
        <v>0</v>
      </c>
      <c r="M10" s="10"/>
      <c r="N10" s="262">
        <f>SUM(N7:N9)</f>
        <v>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10</v>
      </c>
      <c r="G14" s="5"/>
      <c r="H14" s="77">
        <f>+E1-I10+O10+G18</f>
        <v>81356160</v>
      </c>
      <c r="I14" s="291"/>
      <c r="J14" s="138"/>
      <c r="L14" s="9"/>
      <c r="M14" s="138"/>
      <c r="Q14" s="13"/>
    </row>
    <row r="15" spans="1:22" s="1" customFormat="1">
      <c r="A15" s="5"/>
      <c r="B15" s="5"/>
      <c r="C15" s="5"/>
      <c r="E15" s="133"/>
      <c r="F15" s="58"/>
      <c r="G15" s="5"/>
      <c r="H15" s="124"/>
      <c r="I15" s="291"/>
      <c r="J15" s="138"/>
      <c r="L15" s="9"/>
      <c r="M15" s="138"/>
      <c r="Q15" s="13"/>
    </row>
    <row r="16" spans="1:22" s="1" customFormat="1">
      <c r="A16" s="5"/>
      <c r="B16" s="5"/>
      <c r="C16" s="5"/>
      <c r="E16" s="133"/>
      <c r="F16" s="58"/>
      <c r="G16" s="5"/>
      <c r="H16" s="124"/>
      <c r="I16" s="291"/>
      <c r="J16" s="138"/>
      <c r="L16" s="9"/>
      <c r="M16" s="138"/>
      <c r="Q16" s="13"/>
    </row>
    <row r="17" spans="1:22">
      <c r="A17" s="111"/>
      <c r="B17" s="111"/>
      <c r="C17" s="111"/>
      <c r="G17" s="293"/>
      <c r="J17" s="109"/>
      <c r="K17" s="109"/>
      <c r="M17" s="109"/>
      <c r="P17" s="108"/>
      <c r="Q17" s="103"/>
      <c r="R17" s="103"/>
      <c r="S17" s="103"/>
      <c r="T17" s="103"/>
      <c r="U17" s="103"/>
      <c r="V17" s="103"/>
    </row>
    <row r="18" spans="1:22">
      <c r="E18" s="103"/>
      <c r="F18" s="103"/>
      <c r="G18" s="313">
        <f>SUM(G16:G17)</f>
        <v>0</v>
      </c>
      <c r="H18" s="104"/>
      <c r="I18" s="141"/>
      <c r="J18" s="141"/>
    </row>
    <row r="20" spans="1:22">
      <c r="E20" s="103"/>
      <c r="F20" s="103"/>
      <c r="G20" s="103"/>
      <c r="H20" s="112"/>
    </row>
    <row r="24" spans="1:22">
      <c r="H24" s="146"/>
    </row>
    <row r="29" spans="1:22">
      <c r="K29" s="105" t="s">
        <v>7</v>
      </c>
    </row>
  </sheetData>
  <phoneticPr fontId="0" type="noConversion"/>
  <pageMargins left="0.75" right="0.75" top="1" bottom="1" header="0.5" footer="0.5"/>
  <pageSetup scale="65"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249977111117893"/>
  </sheetPr>
  <dimension ref="A1:V43"/>
  <sheetViews>
    <sheetView workbookViewId="0">
      <selection activeCell="H15" sqref="H15"/>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3" style="13" customWidth="1"/>
    <col min="6" max="6" width="40.25" style="13" customWidth="1"/>
    <col min="7" max="7" width="14" style="13" bestFit="1" customWidth="1"/>
    <col min="8" max="8" width="15.25" style="57" bestFit="1" customWidth="1"/>
    <col min="9" max="9" width="13.875" style="34" bestFit="1" customWidth="1"/>
    <col min="10" max="10" width="15.25" style="13" bestFit="1" customWidth="1"/>
    <col min="11" max="11" width="10.875" style="13" bestFit="1" customWidth="1"/>
    <col min="12" max="12" width="12.625" style="34" bestFit="1" customWidth="1"/>
    <col min="13" max="13" width="14.125" style="13" customWidth="1"/>
    <col min="14" max="14" width="15.25" style="12" bestFit="1" customWidth="1"/>
    <col min="15" max="15" width="13.125" style="12" bestFit="1" customWidth="1"/>
    <col min="16" max="16" width="10.625" style="13" bestFit="1" customWidth="1"/>
    <col min="17" max="17" width="10.25" style="13" bestFit="1" customWidth="1"/>
    <col min="18" max="18" width="35.25" style="13" bestFit="1" customWidth="1"/>
    <col min="19" max="19" width="12.75" style="13" bestFit="1" customWidth="1"/>
    <col min="20" max="16384" width="10.875" style="13"/>
  </cols>
  <sheetData>
    <row r="1" spans="1:22" s="17" customFormat="1" ht="11.4">
      <c r="A1" s="16" t="s">
        <v>12</v>
      </c>
      <c r="B1" s="290"/>
      <c r="C1" s="290"/>
      <c r="E1" s="378">
        <f>Totals!F8</f>
        <v>106779961</v>
      </c>
      <c r="F1" s="18"/>
      <c r="G1" s="18"/>
      <c r="H1" s="330"/>
      <c r="I1" s="331"/>
      <c r="J1" s="283"/>
      <c r="K1" s="283"/>
      <c r="L1" s="331"/>
      <c r="M1" s="283"/>
      <c r="N1" s="330"/>
      <c r="O1" s="330"/>
      <c r="P1" s="283"/>
      <c r="R1" s="284"/>
      <c r="S1" s="5"/>
      <c r="T1" s="5"/>
      <c r="U1" s="5"/>
      <c r="V1" s="5"/>
    </row>
    <row r="2" spans="1:22" s="5" customFormat="1" ht="11.4">
      <c r="A2" s="25" t="s">
        <v>1</v>
      </c>
      <c r="B2" s="48"/>
      <c r="C2" s="48"/>
      <c r="E2" s="26"/>
      <c r="F2" s="26"/>
      <c r="G2" s="26"/>
      <c r="H2" s="46"/>
      <c r="I2" s="47"/>
      <c r="J2" s="6"/>
      <c r="K2" s="6"/>
      <c r="L2" s="47"/>
      <c r="M2" s="6"/>
      <c r="N2" s="46"/>
      <c r="O2" s="46"/>
      <c r="P2" s="6"/>
      <c r="R2" s="285"/>
    </row>
    <row r="3" spans="1:22" s="1" customFormat="1">
      <c r="A3" s="31"/>
      <c r="B3" s="5"/>
      <c r="C3" s="5"/>
      <c r="D3" s="5"/>
      <c r="E3" s="5"/>
      <c r="F3" s="5"/>
      <c r="G3" s="5"/>
      <c r="H3" s="46"/>
      <c r="I3" s="126"/>
      <c r="J3" s="6"/>
      <c r="K3" s="6"/>
      <c r="L3" s="210"/>
      <c r="M3" s="6"/>
      <c r="N3" s="54"/>
      <c r="O3" s="54"/>
      <c r="P3" s="6"/>
      <c r="R3" s="286"/>
    </row>
    <row r="4" spans="1:22" s="5" customFormat="1">
      <c r="A4" s="31" t="s">
        <v>206</v>
      </c>
      <c r="B4" s="5" t="s">
        <v>208</v>
      </c>
      <c r="C4" s="5" t="s">
        <v>32</v>
      </c>
      <c r="D4" s="5" t="s">
        <v>37</v>
      </c>
      <c r="E4" s="5" t="s">
        <v>31</v>
      </c>
      <c r="F4" s="26" t="s">
        <v>49</v>
      </c>
      <c r="G4" s="26" t="s">
        <v>45</v>
      </c>
      <c r="H4" s="84" t="s">
        <v>23</v>
      </c>
      <c r="I4" s="32" t="s">
        <v>54</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55</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t="s">
        <v>9</v>
      </c>
      <c r="Q6" s="38"/>
      <c r="R6" s="382" t="s">
        <v>9</v>
      </c>
      <c r="S6" s="13"/>
      <c r="T6" s="13"/>
      <c r="U6" s="13"/>
      <c r="V6" s="13"/>
    </row>
    <row r="7" spans="1:22">
      <c r="A7" s="13" t="s">
        <v>146</v>
      </c>
      <c r="B7" s="13" t="s">
        <v>146</v>
      </c>
      <c r="C7" s="13">
        <v>5270</v>
      </c>
      <c r="D7" s="13" t="s">
        <v>390</v>
      </c>
      <c r="E7" s="36" t="s">
        <v>150</v>
      </c>
      <c r="F7" s="13" t="s">
        <v>612</v>
      </c>
      <c r="G7" s="13" t="s">
        <v>79</v>
      </c>
      <c r="H7" s="525">
        <v>16500000</v>
      </c>
      <c r="I7" s="525">
        <v>16500000</v>
      </c>
      <c r="J7" s="11">
        <v>44201</v>
      </c>
      <c r="K7" s="11">
        <f>J7+35</f>
        <v>44236</v>
      </c>
      <c r="L7" s="420">
        <v>16500000</v>
      </c>
      <c r="M7" s="11">
        <f>J7+180</f>
        <v>44381</v>
      </c>
      <c r="N7" s="420">
        <v>0</v>
      </c>
      <c r="O7" s="420">
        <f>L7-N7</f>
        <v>16500000</v>
      </c>
      <c r="P7" s="11">
        <v>44384</v>
      </c>
      <c r="Q7" s="13" t="s">
        <v>272</v>
      </c>
      <c r="S7" s="49"/>
    </row>
    <row r="8" spans="1:22">
      <c r="A8" s="13" t="s">
        <v>146</v>
      </c>
      <c r="B8" s="13" t="s">
        <v>146</v>
      </c>
      <c r="C8" s="13">
        <v>5320</v>
      </c>
      <c r="D8" s="13" t="s">
        <v>391</v>
      </c>
      <c r="E8" s="36" t="s">
        <v>150</v>
      </c>
      <c r="F8" s="13" t="s">
        <v>660</v>
      </c>
      <c r="G8" s="13" t="s">
        <v>79</v>
      </c>
      <c r="H8" s="525">
        <v>23500000</v>
      </c>
      <c r="I8" s="525">
        <f>H8</f>
        <v>23500000</v>
      </c>
      <c r="J8" s="11">
        <v>44224</v>
      </c>
      <c r="K8" s="11">
        <f>J8+35</f>
        <v>44259</v>
      </c>
      <c r="L8" s="420">
        <v>23500000</v>
      </c>
      <c r="M8" s="11">
        <f>J8+180</f>
        <v>44404</v>
      </c>
      <c r="N8" s="420">
        <v>0</v>
      </c>
      <c r="O8" s="420">
        <f>L8-N8</f>
        <v>23500000</v>
      </c>
      <c r="P8" s="11">
        <v>44356</v>
      </c>
      <c r="Q8" s="13" t="s">
        <v>272</v>
      </c>
      <c r="S8" s="531" t="s">
        <v>662</v>
      </c>
    </row>
    <row r="9" spans="1:22" s="441" customFormat="1">
      <c r="A9" s="441" t="s">
        <v>146</v>
      </c>
      <c r="B9" s="441" t="s">
        <v>146</v>
      </c>
      <c r="C9" s="441">
        <v>5412</v>
      </c>
      <c r="D9" s="441" t="s">
        <v>77</v>
      </c>
      <c r="E9" s="442" t="s">
        <v>150</v>
      </c>
      <c r="F9" s="441" t="s">
        <v>612</v>
      </c>
      <c r="G9" s="441" t="s">
        <v>79</v>
      </c>
      <c r="H9" s="590">
        <v>16500000</v>
      </c>
      <c r="I9" s="590">
        <f>H9</f>
        <v>16500000</v>
      </c>
      <c r="J9" s="443">
        <v>44418</v>
      </c>
      <c r="K9" s="443">
        <f>J9+35</f>
        <v>44453</v>
      </c>
      <c r="L9" s="509">
        <v>16500000</v>
      </c>
      <c r="M9" s="443">
        <f>J9+180</f>
        <v>44598</v>
      </c>
      <c r="N9" s="509"/>
      <c r="O9" s="509"/>
      <c r="P9" s="443"/>
      <c r="Q9" s="441" t="s">
        <v>272</v>
      </c>
      <c r="S9" s="591"/>
    </row>
    <row r="10" spans="1:22">
      <c r="E10" s="36"/>
      <c r="H10" s="59"/>
      <c r="I10" s="59"/>
      <c r="J10" s="11"/>
      <c r="K10" s="152"/>
      <c r="L10" s="484"/>
      <c r="M10" s="152"/>
      <c r="N10" s="301"/>
      <c r="O10" s="301"/>
      <c r="P10" s="11"/>
      <c r="S10" s="49"/>
    </row>
    <row r="11" spans="1:22">
      <c r="A11" s="43"/>
      <c r="B11" s="43"/>
      <c r="C11" s="43"/>
      <c r="D11" s="43"/>
      <c r="E11" s="1"/>
      <c r="F11" s="13" t="s">
        <v>19</v>
      </c>
      <c r="H11" s="262">
        <f>SUM(H7:H10)</f>
        <v>56500000</v>
      </c>
      <c r="I11" s="262">
        <f>SUM(I7:I10)</f>
        <v>56500000</v>
      </c>
      <c r="J11" s="10"/>
      <c r="K11" s="10"/>
      <c r="L11" s="262">
        <f>SUM(L7:L10)</f>
        <v>56500000</v>
      </c>
      <c r="M11" s="10"/>
      <c r="N11" s="262">
        <f>SUM(N7:N10)</f>
        <v>0</v>
      </c>
      <c r="O11" s="262">
        <f>SUM(O7:O10)</f>
        <v>40000000</v>
      </c>
    </row>
    <row r="12" spans="1:22" s="1" customFormat="1">
      <c r="A12" s="5"/>
      <c r="B12" s="5"/>
      <c r="C12" s="5"/>
      <c r="D12" s="88"/>
      <c r="F12" s="13"/>
      <c r="H12" s="76"/>
      <c r="J12" s="11"/>
      <c r="K12" s="11"/>
      <c r="L12" s="9"/>
      <c r="M12" s="6"/>
      <c r="P12" s="3"/>
      <c r="Q12" s="13"/>
    </row>
    <row r="13" spans="1:22" s="1" customFormat="1">
      <c r="A13" s="5"/>
      <c r="B13" s="5"/>
      <c r="C13" s="5"/>
      <c r="F13" s="13" t="s">
        <v>43</v>
      </c>
      <c r="G13" s="5"/>
      <c r="H13" s="34">
        <f>SUM(H11-I11)</f>
        <v>0</v>
      </c>
      <c r="I13" s="9"/>
      <c r="L13" s="9"/>
      <c r="Q13" s="13"/>
    </row>
    <row r="14" spans="1:22" s="1" customFormat="1">
      <c r="A14" s="5"/>
      <c r="B14" s="5"/>
      <c r="C14" s="5"/>
      <c r="G14" s="5"/>
      <c r="H14" s="67"/>
      <c r="I14" s="9"/>
      <c r="K14" s="138"/>
      <c r="L14" s="9"/>
      <c r="M14" s="3"/>
      <c r="N14" s="76"/>
      <c r="Q14" s="13"/>
    </row>
    <row r="15" spans="1:22" s="1" customFormat="1">
      <c r="A15" s="5"/>
      <c r="B15" s="5"/>
      <c r="C15" s="5"/>
      <c r="E15" s="133"/>
      <c r="F15" s="58" t="s">
        <v>10</v>
      </c>
      <c r="G15" s="5"/>
      <c r="H15" s="77">
        <f>E1-I11+O11+G19</f>
        <v>90279961</v>
      </c>
      <c r="I15" s="291"/>
      <c r="J15" s="138"/>
      <c r="L15" s="9"/>
      <c r="M15" s="3"/>
      <c r="N15" s="9"/>
      <c r="Q15" s="13"/>
    </row>
    <row r="16" spans="1:22" s="5" customFormat="1" ht="11.25" customHeight="1">
      <c r="A16" s="4"/>
      <c r="B16" s="4"/>
      <c r="C16" s="4"/>
      <c r="D16" s="48"/>
      <c r="E16" s="48"/>
      <c r="F16" s="4"/>
      <c r="G16" s="48"/>
      <c r="H16" s="75"/>
      <c r="I16" s="96"/>
      <c r="J16" s="6"/>
      <c r="K16" s="6"/>
      <c r="L16" s="60"/>
      <c r="M16" s="6"/>
      <c r="N16" s="44"/>
      <c r="O16" s="46"/>
      <c r="P16" s="6"/>
      <c r="Q16" s="48"/>
      <c r="T16" s="13"/>
      <c r="V16" s="67"/>
    </row>
    <row r="17" spans="3:15">
      <c r="G17" s="151"/>
      <c r="J17" s="11"/>
      <c r="L17" s="57"/>
    </row>
    <row r="18" spans="3:15">
      <c r="C18" s="43"/>
      <c r="D18" s="43"/>
      <c r="E18" s="36"/>
      <c r="F18" s="36"/>
      <c r="G18" s="482"/>
      <c r="H18" s="385"/>
      <c r="J18" s="11"/>
      <c r="L18" s="401"/>
      <c r="N18" s="13"/>
      <c r="O18" s="13"/>
    </row>
    <row r="19" spans="3:15">
      <c r="G19" s="294">
        <f>SUM(G18:G18)</f>
        <v>0</v>
      </c>
      <c r="J19" s="11"/>
      <c r="K19" s="98"/>
      <c r="N19" s="13"/>
      <c r="O19" s="13"/>
    </row>
    <row r="20" spans="3:15">
      <c r="G20" s="67"/>
      <c r="K20" s="98"/>
      <c r="L20" s="35"/>
      <c r="N20" s="13"/>
      <c r="O20" s="13"/>
    </row>
    <row r="21" spans="3:15">
      <c r="G21" s="67"/>
      <c r="K21" s="98"/>
      <c r="N21" s="13"/>
      <c r="O21" s="13"/>
    </row>
    <row r="22" spans="3:15">
      <c r="G22" s="67"/>
      <c r="K22" s="98"/>
      <c r="L22" s="207"/>
      <c r="M22" s="11"/>
      <c r="N22" s="13"/>
      <c r="O22" s="13"/>
    </row>
    <row r="23" spans="3:15">
      <c r="G23" s="67"/>
      <c r="K23" s="98"/>
      <c r="L23" s="35"/>
      <c r="N23" s="13"/>
      <c r="O23" s="13"/>
    </row>
    <row r="24" spans="3:15">
      <c r="G24" s="67"/>
      <c r="K24" s="98"/>
      <c r="N24" s="13"/>
      <c r="O24" s="13"/>
    </row>
    <row r="25" spans="3:15">
      <c r="G25" s="67"/>
      <c r="K25" s="98"/>
      <c r="L25" s="60"/>
      <c r="M25" s="390"/>
      <c r="N25" s="13"/>
      <c r="O25" s="13"/>
    </row>
    <row r="26" spans="3:15">
      <c r="G26" s="67"/>
      <c r="K26" s="98"/>
      <c r="L26" s="15"/>
      <c r="M26" s="390"/>
      <c r="N26" s="13"/>
      <c r="O26" s="13"/>
    </row>
    <row r="27" spans="3:15">
      <c r="G27" s="67"/>
      <c r="K27" s="98"/>
      <c r="L27" s="394"/>
      <c r="M27" s="49"/>
      <c r="N27" s="13"/>
      <c r="O27" s="13"/>
    </row>
    <row r="28" spans="3:15">
      <c r="G28" s="67"/>
      <c r="K28" s="98"/>
      <c r="L28" s="394"/>
      <c r="M28" s="49"/>
      <c r="N28" s="13"/>
      <c r="O28" s="13"/>
    </row>
    <row r="29" spans="3:15">
      <c r="G29" s="67"/>
      <c r="K29" s="98"/>
      <c r="N29" s="13"/>
      <c r="O29" s="13"/>
    </row>
    <row r="30" spans="3:15">
      <c r="G30" s="67"/>
      <c r="K30" s="98"/>
      <c r="L30" s="394"/>
      <c r="N30" s="13"/>
      <c r="O30" s="13"/>
    </row>
    <row r="31" spans="3:15">
      <c r="G31" s="67"/>
      <c r="K31" s="98"/>
      <c r="L31" s="394"/>
      <c r="N31" s="13"/>
      <c r="O31" s="13"/>
    </row>
    <row r="32" spans="3:15">
      <c r="G32" s="67"/>
      <c r="K32" s="98"/>
      <c r="N32" s="13"/>
      <c r="O32" s="13"/>
    </row>
    <row r="33" spans="7:15">
      <c r="G33" s="67"/>
      <c r="K33" s="98"/>
      <c r="N33" s="13"/>
      <c r="O33" s="13"/>
    </row>
    <row r="34" spans="7:15">
      <c r="G34" s="67"/>
      <c r="K34" s="98"/>
      <c r="L34" s="13"/>
      <c r="N34" s="13"/>
      <c r="O34" s="13"/>
    </row>
    <row r="35" spans="7:15">
      <c r="G35" s="67"/>
      <c r="K35" s="98"/>
      <c r="L35" s="13"/>
      <c r="N35" s="13"/>
      <c r="O35" s="13"/>
    </row>
    <row r="36" spans="7:15">
      <c r="G36" s="67"/>
      <c r="K36" s="98"/>
      <c r="L36" s="13"/>
      <c r="N36" s="13"/>
      <c r="O36" s="13"/>
    </row>
    <row r="37" spans="7:15">
      <c r="G37" s="67"/>
      <c r="K37" s="98"/>
      <c r="L37" s="13"/>
      <c r="N37" s="13"/>
      <c r="O37" s="13"/>
    </row>
    <row r="38" spans="7:15">
      <c r="G38" s="67"/>
      <c r="K38" s="98"/>
      <c r="L38" s="13"/>
      <c r="N38" s="13"/>
      <c r="O38" s="13"/>
    </row>
    <row r="39" spans="7:15">
      <c r="G39" s="67"/>
      <c r="K39" s="98"/>
      <c r="L39" s="13"/>
      <c r="N39" s="13"/>
      <c r="O39" s="13"/>
    </row>
    <row r="40" spans="7:15">
      <c r="G40" s="67"/>
      <c r="K40" s="98"/>
      <c r="L40" s="13"/>
      <c r="N40" s="13"/>
      <c r="O40" s="13"/>
    </row>
    <row r="41" spans="7:15">
      <c r="G41" s="67"/>
      <c r="K41" s="98"/>
      <c r="L41" s="13"/>
      <c r="N41" s="13"/>
      <c r="O41" s="13"/>
    </row>
    <row r="42" spans="7:15">
      <c r="G42" s="67"/>
      <c r="K42" s="98"/>
      <c r="L42" s="13"/>
      <c r="N42" s="13"/>
      <c r="O42" s="13"/>
    </row>
    <row r="43" spans="7:15">
      <c r="G43" s="67"/>
      <c r="K43" s="98"/>
      <c r="L43" s="13"/>
      <c r="N43" s="13"/>
      <c r="O43" s="13"/>
    </row>
  </sheetData>
  <phoneticPr fontId="3"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249977111117893"/>
  </sheetPr>
  <dimension ref="A1:V43"/>
  <sheetViews>
    <sheetView zoomScaleNormal="100" workbookViewId="0">
      <pane ySplit="6" topLeftCell="A7" activePane="bottomLeft" state="frozen"/>
      <selection activeCell="K30" sqref="I28:K30"/>
      <selection pane="bottomLeft" activeCell="H25" sqref="H25"/>
    </sheetView>
  </sheetViews>
  <sheetFormatPr defaultColWidth="10.875" defaultRowHeight="12"/>
  <cols>
    <col min="1" max="1" width="9.75" style="13" customWidth="1"/>
    <col min="2" max="2" width="7.125" style="13" bestFit="1" customWidth="1"/>
    <col min="3" max="3" width="10.125" style="13" bestFit="1" customWidth="1"/>
    <col min="4" max="4" width="13" style="13" bestFit="1" customWidth="1"/>
    <col min="5" max="5" width="28" style="13" customWidth="1"/>
    <col min="6" max="6" width="37.75" style="13" bestFit="1" customWidth="1"/>
    <col min="7" max="7" width="12.25" style="13" bestFit="1" customWidth="1"/>
    <col min="8" max="8" width="13.875" style="65" bestFit="1" customWidth="1"/>
    <col min="9" max="9" width="14" style="65" bestFit="1" customWidth="1"/>
    <col min="10" max="10" width="15.25" style="127" bestFit="1" customWidth="1"/>
    <col min="11" max="11" width="10.875" style="13" customWidth="1"/>
    <col min="12" max="12" width="12.625" style="60" bestFit="1" customWidth="1"/>
    <col min="13" max="13" width="10.875" style="13" bestFit="1" customWidth="1"/>
    <col min="14" max="14" width="15.25" style="12" bestFit="1" customWidth="1"/>
    <col min="15" max="15" width="12.25" style="41" bestFit="1" customWidth="1"/>
    <col min="16" max="16" width="10.625" style="13" bestFit="1" customWidth="1"/>
    <col min="17" max="17" width="10.25" style="13" bestFit="1" customWidth="1"/>
    <col min="18" max="18" width="42.25" style="13" bestFit="1" customWidth="1"/>
    <col min="19" max="19" width="26.875" style="13" bestFit="1" customWidth="1"/>
    <col min="20" max="16384" width="10.875" style="13"/>
  </cols>
  <sheetData>
    <row r="1" spans="1:22" s="17" customFormat="1" ht="11.4">
      <c r="A1" s="16" t="s">
        <v>12</v>
      </c>
      <c r="B1" s="290"/>
      <c r="C1" s="290"/>
      <c r="E1" s="381">
        <f>Totals!G8</f>
        <v>213559922</v>
      </c>
      <c r="F1" s="18"/>
      <c r="G1" s="18"/>
      <c r="H1" s="330"/>
      <c r="I1" s="331"/>
      <c r="J1" s="283"/>
      <c r="K1" s="283"/>
      <c r="L1" s="331"/>
      <c r="M1" s="283"/>
      <c r="N1" s="330"/>
      <c r="O1" s="330"/>
      <c r="P1" s="283"/>
      <c r="R1" s="284"/>
      <c r="S1" s="5"/>
      <c r="T1" s="5"/>
      <c r="U1" s="5"/>
      <c r="V1" s="5"/>
    </row>
    <row r="2" spans="1:22" s="5" customFormat="1" ht="11.4">
      <c r="A2" s="25" t="s">
        <v>1</v>
      </c>
      <c r="B2" s="48"/>
      <c r="C2" s="48"/>
      <c r="E2" s="26"/>
      <c r="F2" s="26"/>
      <c r="G2" s="26"/>
      <c r="H2" s="46"/>
      <c r="I2" s="47"/>
      <c r="J2" s="6"/>
      <c r="K2" s="6"/>
      <c r="L2" s="47"/>
      <c r="M2" s="6"/>
      <c r="N2" s="46" t="s">
        <v>53</v>
      </c>
      <c r="O2" s="46"/>
      <c r="P2" s="6"/>
      <c r="R2" s="285"/>
    </row>
    <row r="3" spans="1:22" s="1" customFormat="1">
      <c r="A3" s="31"/>
      <c r="B3" s="5"/>
      <c r="C3" s="5"/>
      <c r="D3" s="5"/>
      <c r="E3" s="5"/>
      <c r="F3" s="5"/>
      <c r="G3" s="5"/>
      <c r="H3" s="46"/>
      <c r="I3" s="126"/>
      <c r="J3" s="6"/>
      <c r="K3" s="6"/>
      <c r="L3" s="210"/>
      <c r="M3" s="6"/>
      <c r="N3" s="54"/>
      <c r="O3" s="54"/>
      <c r="P3" s="6"/>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t="s">
        <v>9</v>
      </c>
      <c r="Q6" s="38"/>
      <c r="R6" s="382" t="s">
        <v>9</v>
      </c>
      <c r="S6" s="13"/>
      <c r="T6" s="13"/>
      <c r="U6" s="13"/>
      <c r="V6" s="13"/>
    </row>
    <row r="7" spans="1:22">
      <c r="A7" s="13" t="s">
        <v>146</v>
      </c>
      <c r="B7" s="13" t="s">
        <v>146</v>
      </c>
      <c r="C7" s="13">
        <v>5326</v>
      </c>
      <c r="D7" s="13" t="s">
        <v>390</v>
      </c>
      <c r="E7" s="13" t="s">
        <v>76</v>
      </c>
      <c r="F7" s="13" t="s">
        <v>669</v>
      </c>
      <c r="G7" s="13" t="s">
        <v>78</v>
      </c>
      <c r="H7" s="288">
        <v>6000000</v>
      </c>
      <c r="I7" s="288">
        <f>H7</f>
        <v>6000000</v>
      </c>
      <c r="J7" s="11">
        <v>44253</v>
      </c>
      <c r="K7" s="11">
        <f>J7+35</f>
        <v>44288</v>
      </c>
      <c r="L7" s="288">
        <v>6000000</v>
      </c>
      <c r="M7" s="11">
        <f>J7+180</f>
        <v>44433</v>
      </c>
      <c r="N7" s="288">
        <v>0</v>
      </c>
      <c r="O7" s="288">
        <f>L7-N7</f>
        <v>6000000</v>
      </c>
      <c r="P7" s="11">
        <v>44401</v>
      </c>
      <c r="Q7" s="13" t="s">
        <v>264</v>
      </c>
      <c r="R7" s="440" t="s">
        <v>674</v>
      </c>
      <c r="S7" s="466"/>
    </row>
    <row r="8" spans="1:22">
      <c r="A8" s="13" t="s">
        <v>146</v>
      </c>
      <c r="B8" s="13" t="s">
        <v>146</v>
      </c>
      <c r="C8" s="13">
        <v>5327</v>
      </c>
      <c r="D8" s="13" t="s">
        <v>390</v>
      </c>
      <c r="E8" s="13" t="s">
        <v>76</v>
      </c>
      <c r="F8" s="13" t="s">
        <v>670</v>
      </c>
      <c r="G8" s="13" t="s">
        <v>78</v>
      </c>
      <c r="H8" s="288">
        <v>5000000</v>
      </c>
      <c r="I8" s="288">
        <f>H8</f>
        <v>5000000</v>
      </c>
      <c r="J8" s="11">
        <v>44253</v>
      </c>
      <c r="K8" s="11">
        <f>J8+35</f>
        <v>44288</v>
      </c>
      <c r="L8" s="288">
        <v>0</v>
      </c>
      <c r="M8" s="11">
        <f>J8+180</f>
        <v>44433</v>
      </c>
      <c r="N8" s="288">
        <v>0</v>
      </c>
      <c r="O8" s="288">
        <f>I8-N8</f>
        <v>5000000</v>
      </c>
      <c r="P8" s="11">
        <v>44287</v>
      </c>
      <c r="Q8" s="13" t="s">
        <v>209</v>
      </c>
      <c r="R8" s="440" t="s">
        <v>673</v>
      </c>
      <c r="S8" s="466" t="s">
        <v>677</v>
      </c>
    </row>
    <row r="9" spans="1:22">
      <c r="A9" s="13" t="s">
        <v>146</v>
      </c>
      <c r="B9" s="13" t="s">
        <v>146</v>
      </c>
      <c r="C9" s="13">
        <v>5366</v>
      </c>
      <c r="D9" s="13" t="s">
        <v>390</v>
      </c>
      <c r="E9" s="13" t="s">
        <v>76</v>
      </c>
      <c r="F9" s="13" t="s">
        <v>723</v>
      </c>
      <c r="G9" s="13" t="s">
        <v>80</v>
      </c>
      <c r="H9" s="288">
        <v>30500000</v>
      </c>
      <c r="I9" s="288">
        <f>H9</f>
        <v>30500000</v>
      </c>
      <c r="J9" s="11">
        <v>44323</v>
      </c>
      <c r="K9" s="11">
        <f>J9+35</f>
        <v>44358</v>
      </c>
      <c r="L9" s="288">
        <v>30500000</v>
      </c>
      <c r="M9" s="11">
        <f>J9+180</f>
        <v>44503</v>
      </c>
      <c r="N9" s="288">
        <v>0</v>
      </c>
      <c r="O9" s="288">
        <f>L9-N9</f>
        <v>30500000</v>
      </c>
      <c r="P9" s="11">
        <v>44420</v>
      </c>
      <c r="Q9" s="13" t="s">
        <v>272</v>
      </c>
      <c r="R9" s="93"/>
      <c r="S9" s="466" t="s">
        <v>728</v>
      </c>
    </row>
    <row r="10" spans="1:22">
      <c r="A10" s="13" t="s">
        <v>146</v>
      </c>
      <c r="B10" s="13" t="s">
        <v>146</v>
      </c>
      <c r="C10" s="13">
        <v>5370</v>
      </c>
      <c r="D10" s="13" t="s">
        <v>390</v>
      </c>
      <c r="E10" s="13" t="s">
        <v>76</v>
      </c>
      <c r="F10" s="13" t="s">
        <v>729</v>
      </c>
      <c r="G10" s="13" t="s">
        <v>78</v>
      </c>
      <c r="H10" s="288">
        <v>20000000</v>
      </c>
      <c r="I10" s="288">
        <f>H10</f>
        <v>20000000</v>
      </c>
      <c r="J10" s="11">
        <v>44330</v>
      </c>
      <c r="K10" s="11">
        <f>J10+35</f>
        <v>44365</v>
      </c>
      <c r="L10" s="288">
        <v>20000000</v>
      </c>
      <c r="M10" s="11">
        <f>J10+180</f>
        <v>44510</v>
      </c>
      <c r="N10" s="288">
        <v>0</v>
      </c>
      <c r="O10" s="288">
        <f>L10-N10</f>
        <v>20000000</v>
      </c>
      <c r="P10" s="11">
        <v>44420</v>
      </c>
      <c r="Q10" s="13" t="s">
        <v>264</v>
      </c>
      <c r="R10" s="440" t="s">
        <v>733</v>
      </c>
      <c r="S10" s="466" t="s">
        <v>734</v>
      </c>
    </row>
    <row r="11" spans="1:22" s="5" customFormat="1" ht="11.4">
      <c r="A11" s="5" t="s">
        <v>146</v>
      </c>
      <c r="B11" s="5" t="s">
        <v>146</v>
      </c>
      <c r="C11" s="5">
        <v>5425</v>
      </c>
      <c r="D11" s="5" t="s">
        <v>625</v>
      </c>
      <c r="E11" s="5" t="s">
        <v>76</v>
      </c>
      <c r="F11" s="5" t="s">
        <v>669</v>
      </c>
      <c r="G11" s="5" t="s">
        <v>78</v>
      </c>
      <c r="H11" s="347">
        <v>6000000</v>
      </c>
      <c r="I11" s="347">
        <f>H11</f>
        <v>6000000</v>
      </c>
      <c r="J11" s="6">
        <v>44421</v>
      </c>
      <c r="K11" s="6">
        <f>J11+35</f>
        <v>44456</v>
      </c>
      <c r="L11" s="347">
        <v>6000000</v>
      </c>
      <c r="M11" s="6">
        <f>J11+180</f>
        <v>44601</v>
      </c>
      <c r="N11" s="347"/>
      <c r="O11" s="347"/>
      <c r="P11" s="6"/>
      <c r="Q11" s="5" t="s">
        <v>264</v>
      </c>
      <c r="R11" s="478" t="s">
        <v>792</v>
      </c>
      <c r="S11" s="377" t="s">
        <v>807</v>
      </c>
    </row>
    <row r="12" spans="1:22" s="5" customFormat="1" ht="11.4">
      <c r="A12" s="5" t="s">
        <v>146</v>
      </c>
      <c r="B12" s="5" t="s">
        <v>146</v>
      </c>
      <c r="C12" s="5">
        <v>5426</v>
      </c>
      <c r="D12" s="5" t="s">
        <v>625</v>
      </c>
      <c r="E12" s="5" t="s">
        <v>76</v>
      </c>
      <c r="F12" s="5" t="s">
        <v>670</v>
      </c>
      <c r="G12" s="5" t="s">
        <v>78</v>
      </c>
      <c r="H12" s="347">
        <v>5000000</v>
      </c>
      <c r="I12" s="347">
        <f t="shared" ref="I12:I19" si="0">H12</f>
        <v>5000000</v>
      </c>
      <c r="J12" s="6">
        <v>44421</v>
      </c>
      <c r="K12" s="6">
        <f t="shared" ref="K12:K19" si="1">J12+35</f>
        <v>44456</v>
      </c>
      <c r="L12" s="347">
        <v>5000000</v>
      </c>
      <c r="M12" s="6">
        <f t="shared" ref="M12:M17" si="2">J12+180</f>
        <v>44601</v>
      </c>
      <c r="N12" s="347"/>
      <c r="O12" s="347"/>
      <c r="P12" s="6"/>
      <c r="Q12" s="5" t="s">
        <v>209</v>
      </c>
      <c r="R12" s="478" t="s">
        <v>792</v>
      </c>
      <c r="S12" s="377" t="s">
        <v>677</v>
      </c>
    </row>
    <row r="13" spans="1:22" s="5" customFormat="1" ht="11.4">
      <c r="A13" s="5" t="s">
        <v>146</v>
      </c>
      <c r="B13" s="5" t="s">
        <v>146</v>
      </c>
      <c r="C13" s="5">
        <v>5427</v>
      </c>
      <c r="D13" s="5" t="s">
        <v>625</v>
      </c>
      <c r="E13" s="5" t="s">
        <v>76</v>
      </c>
      <c r="F13" s="5" t="s">
        <v>723</v>
      </c>
      <c r="G13" s="5" t="s">
        <v>80</v>
      </c>
      <c r="H13" s="347">
        <v>30500000</v>
      </c>
      <c r="I13" s="347">
        <f t="shared" si="0"/>
        <v>30500000</v>
      </c>
      <c r="J13" s="6">
        <v>44421</v>
      </c>
      <c r="K13" s="6">
        <f t="shared" si="1"/>
        <v>44456</v>
      </c>
      <c r="L13" s="347">
        <v>30500000</v>
      </c>
      <c r="M13" s="6">
        <f t="shared" si="2"/>
        <v>44601</v>
      </c>
      <c r="N13" s="423"/>
      <c r="O13" s="347"/>
      <c r="P13" s="6"/>
      <c r="Q13" s="5" t="s">
        <v>272</v>
      </c>
      <c r="R13" s="142"/>
      <c r="S13" s="377" t="s">
        <v>808</v>
      </c>
    </row>
    <row r="14" spans="1:22" s="5" customFormat="1" ht="11.4">
      <c r="A14" s="5" t="s">
        <v>146</v>
      </c>
      <c r="B14" s="5" t="s">
        <v>146</v>
      </c>
      <c r="C14" s="5">
        <v>5428</v>
      </c>
      <c r="D14" s="5" t="s">
        <v>625</v>
      </c>
      <c r="E14" s="5" t="s">
        <v>76</v>
      </c>
      <c r="F14" s="5" t="s">
        <v>729</v>
      </c>
      <c r="G14" s="5" t="s">
        <v>78</v>
      </c>
      <c r="H14" s="347">
        <v>20000000</v>
      </c>
      <c r="I14" s="347">
        <f t="shared" si="0"/>
        <v>20000000</v>
      </c>
      <c r="J14" s="6">
        <v>44421</v>
      </c>
      <c r="K14" s="6">
        <f t="shared" si="1"/>
        <v>44456</v>
      </c>
      <c r="L14" s="347">
        <v>20000000</v>
      </c>
      <c r="M14" s="6">
        <f t="shared" si="2"/>
        <v>44601</v>
      </c>
      <c r="N14" s="423"/>
      <c r="O14" s="347"/>
      <c r="P14" s="6"/>
      <c r="Q14" s="5" t="s">
        <v>272</v>
      </c>
      <c r="R14" s="142"/>
      <c r="S14" s="377" t="s">
        <v>809</v>
      </c>
    </row>
    <row r="15" spans="1:22" s="5" customFormat="1" ht="11.4">
      <c r="A15" s="5" t="s">
        <v>146</v>
      </c>
      <c r="B15" s="5" t="s">
        <v>146</v>
      </c>
      <c r="C15" s="5">
        <v>5429</v>
      </c>
      <c r="D15" s="5" t="s">
        <v>625</v>
      </c>
      <c r="E15" s="5" t="s">
        <v>76</v>
      </c>
      <c r="F15" s="5" t="s">
        <v>791</v>
      </c>
      <c r="G15" s="5" t="s">
        <v>80</v>
      </c>
      <c r="H15" s="347">
        <v>20000000</v>
      </c>
      <c r="I15" s="347">
        <f t="shared" si="0"/>
        <v>20000000</v>
      </c>
      <c r="J15" s="6">
        <v>44421</v>
      </c>
      <c r="K15" s="6">
        <f t="shared" si="1"/>
        <v>44456</v>
      </c>
      <c r="L15" s="347">
        <v>20000000</v>
      </c>
      <c r="M15" s="6">
        <f t="shared" si="2"/>
        <v>44601</v>
      </c>
      <c r="N15" s="347"/>
      <c r="O15" s="347"/>
      <c r="P15" s="6"/>
      <c r="Q15" s="5" t="s">
        <v>272</v>
      </c>
      <c r="R15" s="142"/>
      <c r="S15" s="377" t="s">
        <v>734</v>
      </c>
    </row>
    <row r="16" spans="1:22" s="5" customFormat="1" ht="11.4">
      <c r="A16" s="5" t="s">
        <v>146</v>
      </c>
      <c r="B16" s="5" t="s">
        <v>146</v>
      </c>
      <c r="C16" s="5">
        <v>5430</v>
      </c>
      <c r="D16" s="5" t="s">
        <v>625</v>
      </c>
      <c r="E16" s="5" t="s">
        <v>76</v>
      </c>
      <c r="F16" s="5" t="s">
        <v>474</v>
      </c>
      <c r="G16" s="5" t="s">
        <v>78</v>
      </c>
      <c r="H16" s="347">
        <v>50000000</v>
      </c>
      <c r="I16" s="347">
        <f t="shared" si="0"/>
        <v>50000000</v>
      </c>
      <c r="J16" s="6">
        <v>44421</v>
      </c>
      <c r="K16" s="6">
        <f t="shared" si="1"/>
        <v>44456</v>
      </c>
      <c r="L16" s="347">
        <v>50000000</v>
      </c>
      <c r="M16" s="6">
        <f t="shared" si="2"/>
        <v>44601</v>
      </c>
      <c r="N16" s="423"/>
      <c r="O16" s="347"/>
      <c r="P16" s="6"/>
      <c r="Q16" s="5" t="s">
        <v>272</v>
      </c>
      <c r="R16" s="142"/>
      <c r="S16" s="377"/>
    </row>
    <row r="17" spans="1:19" s="5" customFormat="1" ht="11.4">
      <c r="A17" s="5" t="s">
        <v>146</v>
      </c>
      <c r="B17" s="5" t="s">
        <v>146</v>
      </c>
      <c r="C17" s="5">
        <v>5431</v>
      </c>
      <c r="D17" s="5" t="s">
        <v>625</v>
      </c>
      <c r="E17" s="5" t="s">
        <v>76</v>
      </c>
      <c r="F17" s="5" t="s">
        <v>654</v>
      </c>
      <c r="G17" s="5" t="s">
        <v>78</v>
      </c>
      <c r="H17" s="347">
        <v>45000000</v>
      </c>
      <c r="I17" s="347">
        <f t="shared" si="0"/>
        <v>45000000</v>
      </c>
      <c r="J17" s="6">
        <v>44421</v>
      </c>
      <c r="K17" s="6">
        <f t="shared" si="1"/>
        <v>44456</v>
      </c>
      <c r="L17" s="347">
        <v>45000000</v>
      </c>
      <c r="M17" s="6">
        <f t="shared" si="2"/>
        <v>44601</v>
      </c>
      <c r="N17" s="347"/>
      <c r="O17" s="347"/>
      <c r="P17" s="6"/>
      <c r="Q17" s="5" t="s">
        <v>272</v>
      </c>
      <c r="R17" s="142"/>
      <c r="S17" s="377"/>
    </row>
    <row r="18" spans="1:19" s="5" customFormat="1" ht="11.4">
      <c r="A18" s="5" t="s">
        <v>146</v>
      </c>
      <c r="B18" s="5" t="s">
        <v>146</v>
      </c>
      <c r="C18" s="5">
        <v>5432</v>
      </c>
      <c r="D18" s="5" t="s">
        <v>625</v>
      </c>
      <c r="E18" s="5" t="s">
        <v>76</v>
      </c>
      <c r="F18" s="5" t="s">
        <v>799</v>
      </c>
      <c r="G18" s="5" t="s">
        <v>78</v>
      </c>
      <c r="H18" s="347">
        <v>50000000</v>
      </c>
      <c r="I18" s="347">
        <f t="shared" si="0"/>
        <v>50000000</v>
      </c>
      <c r="J18" s="6">
        <v>44421</v>
      </c>
      <c r="K18" s="6">
        <f t="shared" si="1"/>
        <v>44456</v>
      </c>
      <c r="L18" s="347">
        <v>50000000</v>
      </c>
      <c r="M18" s="6">
        <f t="shared" ref="M18:M19" si="3">J18+180</f>
        <v>44601</v>
      </c>
      <c r="N18" s="423"/>
      <c r="O18" s="347"/>
      <c r="P18" s="6"/>
      <c r="Q18" s="5" t="s">
        <v>272</v>
      </c>
      <c r="R18" s="142"/>
      <c r="S18" s="377"/>
    </row>
    <row r="19" spans="1:19" s="5" customFormat="1" ht="11.4">
      <c r="A19" s="5" t="s">
        <v>146</v>
      </c>
      <c r="B19" s="5" t="s">
        <v>146</v>
      </c>
      <c r="C19" s="5">
        <v>5433</v>
      </c>
      <c r="D19" s="5" t="s">
        <v>625</v>
      </c>
      <c r="E19" s="5" t="s">
        <v>76</v>
      </c>
      <c r="F19" s="5" t="s">
        <v>800</v>
      </c>
      <c r="G19" s="5" t="s">
        <v>801</v>
      </c>
      <c r="H19" s="347">
        <v>48000000</v>
      </c>
      <c r="I19" s="347">
        <f t="shared" si="0"/>
        <v>48000000</v>
      </c>
      <c r="J19" s="6">
        <v>44421</v>
      </c>
      <c r="K19" s="6">
        <f t="shared" si="1"/>
        <v>44456</v>
      </c>
      <c r="L19" s="347">
        <v>48000000</v>
      </c>
      <c r="M19" s="6">
        <f t="shared" si="3"/>
        <v>44601</v>
      </c>
      <c r="N19" s="347"/>
      <c r="O19" s="347"/>
      <c r="P19" s="6"/>
      <c r="Q19" s="5" t="s">
        <v>272</v>
      </c>
      <c r="R19" s="142"/>
      <c r="S19" s="377"/>
    </row>
    <row r="20" spans="1:19">
      <c r="H20" s="288"/>
      <c r="I20" s="288"/>
      <c r="J20" s="11"/>
      <c r="K20" s="11"/>
      <c r="L20" s="288"/>
      <c r="M20" s="11"/>
      <c r="N20" s="288"/>
      <c r="O20" s="288"/>
      <c r="P20" s="11"/>
      <c r="R20" s="346"/>
    </row>
    <row r="21" spans="1:19">
      <c r="A21" s="43"/>
      <c r="B21" s="43"/>
      <c r="C21" s="43"/>
      <c r="D21" s="43"/>
      <c r="E21" s="1"/>
      <c r="F21" s="13" t="s">
        <v>19</v>
      </c>
      <c r="H21" s="262">
        <f>SUM(H7:H20)</f>
        <v>336000000</v>
      </c>
      <c r="I21" s="262">
        <f>SUM(I7:I20)</f>
        <v>336000000</v>
      </c>
      <c r="J21" s="10"/>
      <c r="K21" s="10"/>
      <c r="L21" s="262">
        <f>SUM(L7:L20)</f>
        <v>331000000</v>
      </c>
      <c r="M21" s="10"/>
      <c r="N21" s="262">
        <f>SUM(N7:N20)</f>
        <v>0</v>
      </c>
      <c r="O21" s="262">
        <f>SUM(O7:O20)</f>
        <v>61500000</v>
      </c>
    </row>
    <row r="22" spans="1:19" s="1" customFormat="1">
      <c r="A22" s="5"/>
      <c r="B22" s="5"/>
      <c r="C22" s="5"/>
      <c r="D22" s="88"/>
      <c r="F22" s="13"/>
      <c r="H22" s="76"/>
      <c r="J22" s="11"/>
      <c r="K22" s="11"/>
      <c r="L22" s="9"/>
      <c r="M22" s="6"/>
      <c r="Q22" s="13"/>
    </row>
    <row r="23" spans="1:19" s="1" customFormat="1">
      <c r="A23" s="5"/>
      <c r="B23" s="5"/>
      <c r="C23" s="5"/>
      <c r="E23" s="5"/>
      <c r="F23" s="13" t="s">
        <v>43</v>
      </c>
      <c r="G23" s="5"/>
      <c r="H23" s="34">
        <f>H21-I21</f>
        <v>0</v>
      </c>
      <c r="I23" s="9"/>
      <c r="K23" s="3"/>
      <c r="L23" s="9"/>
      <c r="M23" s="3"/>
      <c r="Q23" s="13"/>
    </row>
    <row r="24" spans="1:19" s="1" customFormat="1">
      <c r="A24" s="5"/>
      <c r="B24" s="5"/>
      <c r="C24" s="5"/>
      <c r="E24" s="5"/>
      <c r="G24" s="5"/>
      <c r="H24" s="67"/>
      <c r="I24" s="9"/>
      <c r="J24" s="3"/>
      <c r="K24" s="138"/>
      <c r="L24" s="9"/>
      <c r="M24" s="3"/>
      <c r="N24" s="76"/>
      <c r="Q24" s="13"/>
    </row>
    <row r="25" spans="1:19" s="1" customFormat="1">
      <c r="A25" s="5"/>
      <c r="B25" s="5"/>
      <c r="C25" s="5"/>
      <c r="E25" s="133"/>
      <c r="F25" s="58" t="s">
        <v>10</v>
      </c>
      <c r="G25" s="5"/>
      <c r="H25" s="77">
        <f>E1-I21+O21+G36</f>
        <v>6609922</v>
      </c>
      <c r="I25" s="194"/>
      <c r="J25" s="138"/>
      <c r="L25" s="3"/>
      <c r="M25" s="138"/>
      <c r="N25" s="348"/>
      <c r="O25" s="2"/>
      <c r="Q25" s="13"/>
    </row>
    <row r="26" spans="1:19">
      <c r="I26" s="302"/>
      <c r="L26" s="395"/>
      <c r="M26" s="11"/>
      <c r="N26" s="348"/>
      <c r="O26" s="2"/>
    </row>
    <row r="27" spans="1:19">
      <c r="H27" s="34"/>
      <c r="I27" s="128"/>
      <c r="J27" s="11"/>
      <c r="K27" s="60"/>
      <c r="L27" s="200"/>
      <c r="M27" s="394"/>
      <c r="N27" s="410"/>
      <c r="O27" s="395"/>
    </row>
    <row r="28" spans="1:19">
      <c r="F28" s="58"/>
      <c r="G28" s="261"/>
      <c r="I28" s="44"/>
      <c r="J28" s="49"/>
      <c r="K28" s="60"/>
      <c r="L28" s="11"/>
      <c r="M28" s="12"/>
      <c r="N28" s="400"/>
      <c r="O28" s="13"/>
    </row>
    <row r="29" spans="1:19">
      <c r="G29" s="10"/>
      <c r="H29" s="287"/>
      <c r="I29" s="164"/>
      <c r="M29" s="49"/>
      <c r="N29" s="394"/>
    </row>
    <row r="30" spans="1:19">
      <c r="E30" s="466"/>
      <c r="G30" s="10"/>
      <c r="H30" s="287"/>
      <c r="I30" s="164"/>
      <c r="J30" s="12"/>
      <c r="L30" s="446"/>
      <c r="M30" s="49"/>
    </row>
    <row r="31" spans="1:19">
      <c r="G31" s="10"/>
      <c r="H31" s="287"/>
      <c r="I31" s="164"/>
      <c r="M31" s="49"/>
    </row>
    <row r="32" spans="1:19">
      <c r="C32" s="13">
        <v>5204</v>
      </c>
      <c r="D32" s="13" t="s">
        <v>77</v>
      </c>
      <c r="E32" s="13" t="s">
        <v>76</v>
      </c>
      <c r="F32" s="36" t="s">
        <v>94</v>
      </c>
      <c r="G32" s="10">
        <v>8050000</v>
      </c>
      <c r="H32" s="287" t="s">
        <v>803</v>
      </c>
      <c r="I32" s="164"/>
      <c r="M32" s="49"/>
    </row>
    <row r="33" spans="3:13">
      <c r="C33" s="13">
        <v>5244</v>
      </c>
      <c r="D33" s="13" t="s">
        <v>77</v>
      </c>
      <c r="E33" s="13" t="s">
        <v>76</v>
      </c>
      <c r="F33" s="36" t="s">
        <v>94</v>
      </c>
      <c r="G33" s="10">
        <v>27500000</v>
      </c>
      <c r="H33" s="287" t="s">
        <v>804</v>
      </c>
      <c r="I33" s="164"/>
      <c r="M33" s="49"/>
    </row>
    <row r="34" spans="3:13">
      <c r="C34" s="13">
        <v>5245</v>
      </c>
      <c r="D34" s="13" t="s">
        <v>77</v>
      </c>
      <c r="E34" s="13" t="s">
        <v>76</v>
      </c>
      <c r="F34" s="36" t="s">
        <v>94</v>
      </c>
      <c r="G34" s="10">
        <v>12000000</v>
      </c>
      <c r="H34" s="287" t="s">
        <v>805</v>
      </c>
      <c r="I34" s="164"/>
      <c r="M34" s="49"/>
    </row>
    <row r="35" spans="3:13">
      <c r="C35" s="13">
        <v>5246</v>
      </c>
      <c r="D35" s="13" t="s">
        <v>77</v>
      </c>
      <c r="E35" s="13" t="s">
        <v>76</v>
      </c>
      <c r="F35" s="36" t="s">
        <v>94</v>
      </c>
      <c r="G35" s="518">
        <v>20000000</v>
      </c>
      <c r="H35" s="287" t="s">
        <v>806</v>
      </c>
      <c r="I35" s="164"/>
      <c r="M35" s="49"/>
    </row>
    <row r="36" spans="3:13">
      <c r="G36" s="294">
        <f>SUM(G32:G35)</f>
        <v>67550000</v>
      </c>
      <c r="J36" s="11"/>
    </row>
    <row r="37" spans="3:13">
      <c r="J37" s="11"/>
    </row>
    <row r="38" spans="3:13">
      <c r="J38" s="11"/>
    </row>
    <row r="39" spans="3:13">
      <c r="G39" s="10"/>
    </row>
    <row r="41" spans="3:13">
      <c r="F41" s="36"/>
    </row>
    <row r="42" spans="3:13">
      <c r="F42" s="36"/>
      <c r="H42" s="13"/>
      <c r="J42" s="11"/>
    </row>
    <row r="43" spans="3:13">
      <c r="J43" s="11"/>
    </row>
  </sheetData>
  <phoneticPr fontId="0" type="noConversion"/>
  <pageMargins left="0.75" right="0.75" top="1" bottom="1" header="0.5" footer="0.5"/>
  <pageSetup scale="80" fitToHeight="2"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theme="0" tint="-0.249977111117893"/>
  </sheetPr>
  <dimension ref="A1:V78"/>
  <sheetViews>
    <sheetView topLeftCell="A31" zoomScaleNormal="100" workbookViewId="0">
      <selection activeCell="H66" sqref="H66"/>
    </sheetView>
  </sheetViews>
  <sheetFormatPr defaultColWidth="9.125" defaultRowHeight="12"/>
  <cols>
    <col min="1" max="1" width="9" style="1" customWidth="1"/>
    <col min="2" max="2" width="6.625" style="1" bestFit="1" customWidth="1"/>
    <col min="3" max="3" width="10.125" style="1" customWidth="1"/>
    <col min="4" max="4" width="13.25" style="1" bestFit="1" customWidth="1"/>
    <col min="5" max="5" width="27.625" style="1" bestFit="1" customWidth="1"/>
    <col min="6" max="6" width="51.75" style="1" bestFit="1" customWidth="1"/>
    <col min="7" max="7" width="14.375" style="1" customWidth="1"/>
    <col min="8" max="8" width="16" style="1" customWidth="1"/>
    <col min="9" max="9" width="14" style="1" bestFit="1" customWidth="1"/>
    <col min="10" max="10" width="14" style="1" customWidth="1"/>
    <col min="11" max="11" width="10.875" style="1" customWidth="1"/>
    <col min="12" max="12" width="12.875" style="1" customWidth="1"/>
    <col min="13" max="13" width="10.375" style="1" customWidth="1"/>
    <col min="14" max="14" width="14" style="1" customWidth="1"/>
    <col min="15" max="15" width="14" style="140" bestFit="1" customWidth="1"/>
    <col min="16" max="16" width="9.875" style="1" customWidth="1"/>
    <col min="17" max="17" width="9.125" style="1" bestFit="1" customWidth="1"/>
    <col min="18" max="18" width="43.125" style="1" bestFit="1" customWidth="1"/>
    <col min="19" max="19" width="20" style="1" bestFit="1" customWidth="1"/>
    <col min="20" max="16384" width="9.125" style="1"/>
  </cols>
  <sheetData>
    <row r="1" spans="1:22" s="17" customFormat="1" ht="11.4">
      <c r="A1" s="16" t="s">
        <v>12</v>
      </c>
      <c r="B1" s="290"/>
      <c r="C1" s="290"/>
      <c r="E1" s="378">
        <f>'REGION 1'!H14+'REGION 2'!H13+'REGION 3'!H32+'REGION 4'!H13+'REGION 5'!H14+'REGION 6'!H29+'REGION 7'!H30+'REGION 8'!H13+'REGION 9'!H15+'REGION 10'!H13+'REGION 11'!H14+'REGION 12'!H13+'REGION 13'!H14</f>
        <v>542387321</v>
      </c>
      <c r="F1" s="18"/>
      <c r="G1" s="18"/>
      <c r="H1" s="330"/>
      <c r="I1" s="331"/>
      <c r="J1" s="283"/>
      <c r="K1" s="283"/>
      <c r="L1" s="331"/>
      <c r="M1" s="283"/>
      <c r="N1" s="330"/>
      <c r="O1" s="330"/>
      <c r="P1" s="283"/>
      <c r="R1" s="284"/>
      <c r="S1" s="5"/>
      <c r="T1" s="5"/>
      <c r="U1" s="5"/>
      <c r="V1" s="5"/>
    </row>
    <row r="2" spans="1:22" s="5" customFormat="1" ht="11.4">
      <c r="A2" s="25" t="s">
        <v>160</v>
      </c>
      <c r="B2" s="48"/>
      <c r="C2" s="48"/>
      <c r="E2" s="26"/>
      <c r="F2" s="26"/>
      <c r="G2" s="26"/>
      <c r="H2" s="46"/>
      <c r="I2" s="47"/>
      <c r="J2" s="6"/>
      <c r="K2" s="6"/>
      <c r="L2" s="47"/>
      <c r="M2" s="6"/>
      <c r="N2" s="46"/>
      <c r="O2" s="46"/>
      <c r="P2" s="6"/>
      <c r="R2" s="285"/>
    </row>
    <row r="3" spans="1:22">
      <c r="A3" s="31"/>
      <c r="B3" s="5"/>
      <c r="C3" s="5"/>
      <c r="D3" s="5"/>
      <c r="E3" s="5"/>
      <c r="F3" s="5"/>
      <c r="G3" s="5"/>
      <c r="H3" s="46"/>
      <c r="I3" s="126"/>
      <c r="J3" s="6"/>
      <c r="K3" s="6"/>
      <c r="L3" s="210"/>
      <c r="M3" s="6"/>
      <c r="N3" s="54"/>
      <c r="O3" s="54"/>
      <c r="P3" s="6"/>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13" customFormat="1">
      <c r="A7" s="13">
        <v>22</v>
      </c>
      <c r="B7" s="13">
        <v>40</v>
      </c>
      <c r="C7" s="13">
        <v>5331</v>
      </c>
      <c r="D7" s="13" t="s">
        <v>390</v>
      </c>
      <c r="E7" s="13" t="s">
        <v>212</v>
      </c>
      <c r="F7" s="36" t="s">
        <v>329</v>
      </c>
      <c r="G7" s="36" t="s">
        <v>213</v>
      </c>
      <c r="H7" s="288">
        <v>25000000</v>
      </c>
      <c r="I7" s="288">
        <f>H7</f>
        <v>25000000</v>
      </c>
      <c r="J7" s="11">
        <v>44261</v>
      </c>
      <c r="K7" s="11">
        <f>J7+35</f>
        <v>44296</v>
      </c>
      <c r="L7" s="348">
        <v>0</v>
      </c>
      <c r="M7" s="11">
        <f>J7+180</f>
        <v>44441</v>
      </c>
      <c r="N7" s="348">
        <v>0</v>
      </c>
      <c r="O7" s="288">
        <f>I7-L7</f>
        <v>25000000</v>
      </c>
      <c r="P7" s="11">
        <v>44285</v>
      </c>
      <c r="Q7" s="13" t="s">
        <v>209</v>
      </c>
      <c r="R7" s="440" t="s">
        <v>687</v>
      </c>
    </row>
    <row r="8" spans="1:22" s="13" customFormat="1">
      <c r="A8" s="13">
        <v>26</v>
      </c>
      <c r="B8" s="13">
        <v>48</v>
      </c>
      <c r="C8" s="13">
        <v>5332</v>
      </c>
      <c r="D8" s="13" t="s">
        <v>390</v>
      </c>
      <c r="E8" s="13" t="s">
        <v>265</v>
      </c>
      <c r="F8" s="36" t="s">
        <v>454</v>
      </c>
      <c r="G8" s="36" t="s">
        <v>211</v>
      </c>
      <c r="H8" s="288">
        <v>25000000</v>
      </c>
      <c r="I8" s="288">
        <f t="shared" ref="I8:I10" si="0">H8</f>
        <v>25000000</v>
      </c>
      <c r="J8" s="11">
        <v>44261</v>
      </c>
      <c r="K8" s="11">
        <f t="shared" ref="K8:K11" si="1">J8+35</f>
        <v>44296</v>
      </c>
      <c r="L8" s="288">
        <v>25000000</v>
      </c>
      <c r="M8" s="11">
        <f t="shared" ref="M8:M9" si="2">J8+180</f>
        <v>44441</v>
      </c>
      <c r="N8" s="288">
        <v>0</v>
      </c>
      <c r="O8" s="288">
        <f>L8-N8</f>
        <v>25000000</v>
      </c>
      <c r="P8" s="11">
        <v>44411</v>
      </c>
      <c r="Q8" s="13" t="s">
        <v>264</v>
      </c>
      <c r="R8" s="440" t="s">
        <v>691</v>
      </c>
    </row>
    <row r="9" spans="1:22" s="13" customFormat="1">
      <c r="A9" s="13">
        <v>35</v>
      </c>
      <c r="B9" s="13">
        <v>57</v>
      </c>
      <c r="C9" s="13">
        <v>5333</v>
      </c>
      <c r="D9" s="13" t="s">
        <v>390</v>
      </c>
      <c r="E9" s="13" t="s">
        <v>141</v>
      </c>
      <c r="F9" s="36" t="s">
        <v>340</v>
      </c>
      <c r="G9" s="36" t="s">
        <v>341</v>
      </c>
      <c r="H9" s="420">
        <v>69152737</v>
      </c>
      <c r="I9" s="288">
        <f t="shared" si="0"/>
        <v>69152737</v>
      </c>
      <c r="J9" s="11">
        <v>44261</v>
      </c>
      <c r="K9" s="11">
        <f t="shared" si="1"/>
        <v>44296</v>
      </c>
      <c r="L9" s="288">
        <f>I9</f>
        <v>69152737</v>
      </c>
      <c r="M9" s="11">
        <f t="shared" si="2"/>
        <v>44441</v>
      </c>
      <c r="N9" s="288">
        <v>0</v>
      </c>
      <c r="O9" s="288">
        <f>L9-N9</f>
        <v>69152737</v>
      </c>
      <c r="P9" s="11">
        <v>44366</v>
      </c>
      <c r="Q9" s="13" t="s">
        <v>264</v>
      </c>
      <c r="R9" s="440" t="s">
        <v>691</v>
      </c>
      <c r="S9" s="466" t="s">
        <v>692</v>
      </c>
    </row>
    <row r="10" spans="1:22" s="13" customFormat="1">
      <c r="A10" s="13">
        <v>37</v>
      </c>
      <c r="B10" s="13">
        <v>8</v>
      </c>
      <c r="C10" s="13">
        <v>5334</v>
      </c>
      <c r="D10" s="13" t="s">
        <v>390</v>
      </c>
      <c r="E10" s="13" t="s">
        <v>487</v>
      </c>
      <c r="F10" s="36" t="s">
        <v>490</v>
      </c>
      <c r="G10" s="36" t="s">
        <v>489</v>
      </c>
      <c r="H10" s="288">
        <v>18000000</v>
      </c>
      <c r="I10" s="288">
        <f t="shared" si="0"/>
        <v>18000000</v>
      </c>
      <c r="J10" s="11">
        <v>44261</v>
      </c>
      <c r="K10" s="11">
        <f t="shared" si="1"/>
        <v>44296</v>
      </c>
      <c r="L10" s="288">
        <v>18000000</v>
      </c>
      <c r="M10" s="11">
        <f>J10+180</f>
        <v>44441</v>
      </c>
      <c r="N10" s="288">
        <v>0</v>
      </c>
      <c r="O10" s="288">
        <f>L10-N10</f>
        <v>18000000</v>
      </c>
      <c r="P10" s="11">
        <v>44370</v>
      </c>
      <c r="Q10" s="13" t="s">
        <v>241</v>
      </c>
      <c r="R10" s="440" t="s">
        <v>691</v>
      </c>
    </row>
    <row r="11" spans="1:22" s="13" customFormat="1">
      <c r="A11" s="13">
        <v>50</v>
      </c>
      <c r="B11" s="13">
        <v>73</v>
      </c>
      <c r="C11" s="13">
        <v>5335</v>
      </c>
      <c r="D11" s="13" t="s">
        <v>390</v>
      </c>
      <c r="E11" s="13" t="s">
        <v>141</v>
      </c>
      <c r="F11" s="36" t="s">
        <v>406</v>
      </c>
      <c r="G11" s="36" t="s">
        <v>275</v>
      </c>
      <c r="H11" s="420">
        <v>50000000</v>
      </c>
      <c r="I11" s="288">
        <f>H11</f>
        <v>50000000</v>
      </c>
      <c r="J11" s="11">
        <v>44264</v>
      </c>
      <c r="K11" s="11">
        <f t="shared" si="1"/>
        <v>44299</v>
      </c>
      <c r="L11" s="288">
        <v>50000000</v>
      </c>
      <c r="M11" s="11">
        <f>J11+180</f>
        <v>44444</v>
      </c>
      <c r="N11" s="288">
        <v>0</v>
      </c>
      <c r="O11" s="288">
        <f>L11-N11</f>
        <v>50000000</v>
      </c>
      <c r="P11" s="11">
        <v>44359</v>
      </c>
      <c r="Q11" s="13" t="s">
        <v>264</v>
      </c>
      <c r="R11" s="440" t="s">
        <v>693</v>
      </c>
    </row>
    <row r="12" spans="1:22" s="13" customFormat="1">
      <c r="A12" s="13">
        <v>53</v>
      </c>
      <c r="B12" s="13">
        <v>76</v>
      </c>
      <c r="C12" s="13" t="s">
        <v>499</v>
      </c>
      <c r="D12" s="13" t="s">
        <v>390</v>
      </c>
      <c r="E12" s="13" t="s">
        <v>268</v>
      </c>
      <c r="F12" s="36" t="s">
        <v>418</v>
      </c>
      <c r="G12" s="36" t="s">
        <v>419</v>
      </c>
      <c r="H12" s="288">
        <v>0</v>
      </c>
      <c r="I12" s="288"/>
      <c r="J12" s="11"/>
      <c r="K12" s="11"/>
      <c r="L12" s="348"/>
      <c r="M12" s="11"/>
      <c r="N12" s="288"/>
      <c r="O12" s="288"/>
      <c r="P12" s="11"/>
      <c r="Q12" s="13" t="s">
        <v>264</v>
      </c>
      <c r="R12" s="93" t="s">
        <v>689</v>
      </c>
    </row>
    <row r="13" spans="1:22" s="13" customFormat="1">
      <c r="A13" s="13">
        <v>58</v>
      </c>
      <c r="B13" s="13">
        <v>34</v>
      </c>
      <c r="C13" s="13">
        <v>5336</v>
      </c>
      <c r="D13" s="13" t="s">
        <v>391</v>
      </c>
      <c r="E13" s="13" t="s">
        <v>394</v>
      </c>
      <c r="F13" s="36" t="s">
        <v>395</v>
      </c>
      <c r="G13" s="36" t="s">
        <v>148</v>
      </c>
      <c r="H13" s="288">
        <v>15000000</v>
      </c>
      <c r="I13" s="288">
        <v>15000000</v>
      </c>
      <c r="J13" s="11">
        <v>44264</v>
      </c>
      <c r="K13" s="11">
        <f>J13+35</f>
        <v>44299</v>
      </c>
      <c r="L13" s="288">
        <v>15000000</v>
      </c>
      <c r="M13" s="11">
        <f>J13+180</f>
        <v>44444</v>
      </c>
      <c r="N13" s="288">
        <v>15000000</v>
      </c>
      <c r="O13" s="288">
        <f>L13-N13</f>
        <v>0</v>
      </c>
      <c r="P13" s="11">
        <v>44448</v>
      </c>
      <c r="Q13" s="13" t="s">
        <v>241</v>
      </c>
      <c r="R13" s="440" t="s">
        <v>690</v>
      </c>
    </row>
    <row r="14" spans="1:22" s="13" customFormat="1">
      <c r="A14" s="13">
        <v>61</v>
      </c>
      <c r="B14" s="13">
        <v>82</v>
      </c>
      <c r="C14" s="13" t="s">
        <v>461</v>
      </c>
      <c r="D14" s="13" t="s">
        <v>390</v>
      </c>
      <c r="E14" s="13" t="s">
        <v>266</v>
      </c>
      <c r="F14" s="36" t="s">
        <v>474</v>
      </c>
      <c r="G14" s="36" t="s">
        <v>78</v>
      </c>
      <c r="H14" s="420">
        <v>0</v>
      </c>
      <c r="I14" s="288"/>
      <c r="J14" s="11"/>
      <c r="K14" s="11"/>
      <c r="L14" s="288"/>
      <c r="M14" s="11"/>
      <c r="N14" s="288"/>
      <c r="O14" s="288"/>
      <c r="P14" s="11"/>
      <c r="Q14" s="13" t="s">
        <v>264</v>
      </c>
      <c r="R14" s="93" t="s">
        <v>694</v>
      </c>
    </row>
    <row r="15" spans="1:22" s="13" customFormat="1">
      <c r="A15" s="13">
        <v>65</v>
      </c>
      <c r="B15" s="13">
        <v>85</v>
      </c>
      <c r="C15" s="13" t="s">
        <v>520</v>
      </c>
      <c r="D15" s="13" t="s">
        <v>390</v>
      </c>
      <c r="E15" s="13" t="s">
        <v>221</v>
      </c>
      <c r="F15" s="36" t="s">
        <v>400</v>
      </c>
      <c r="G15" s="36" t="s">
        <v>79</v>
      </c>
      <c r="H15" s="420">
        <v>0</v>
      </c>
      <c r="I15" s="288"/>
      <c r="J15" s="11"/>
      <c r="K15" s="11"/>
      <c r="L15" s="288"/>
      <c r="M15" s="11"/>
      <c r="N15" s="288"/>
      <c r="O15" s="288"/>
      <c r="P15" s="11"/>
      <c r="Q15" s="13" t="s">
        <v>264</v>
      </c>
      <c r="R15" s="93" t="s">
        <v>688</v>
      </c>
    </row>
    <row r="16" spans="1:22" s="13" customFormat="1">
      <c r="A16" s="13">
        <v>69</v>
      </c>
      <c r="B16" s="13">
        <v>91</v>
      </c>
      <c r="C16" s="13" t="s">
        <v>500</v>
      </c>
      <c r="D16" s="13" t="s">
        <v>697</v>
      </c>
      <c r="E16" s="13" t="s">
        <v>269</v>
      </c>
      <c r="F16" s="36" t="s">
        <v>506</v>
      </c>
      <c r="G16" s="36" t="s">
        <v>80</v>
      </c>
      <c r="H16" s="420">
        <v>0</v>
      </c>
      <c r="I16" s="288"/>
      <c r="J16" s="11"/>
      <c r="K16" s="11"/>
      <c r="L16" s="288"/>
      <c r="M16" s="11"/>
      <c r="N16" s="288"/>
      <c r="O16" s="288"/>
      <c r="P16" s="11"/>
      <c r="Q16" s="13" t="s">
        <v>264</v>
      </c>
      <c r="R16" s="43" t="s">
        <v>695</v>
      </c>
    </row>
    <row r="17" spans="1:19" s="13" customFormat="1">
      <c r="A17" s="13">
        <v>70</v>
      </c>
      <c r="B17" s="13">
        <v>92</v>
      </c>
      <c r="C17" s="13" t="s">
        <v>521</v>
      </c>
      <c r="D17" s="13" t="s">
        <v>390</v>
      </c>
      <c r="E17" s="13" t="s">
        <v>141</v>
      </c>
      <c r="F17" s="36" t="s">
        <v>528</v>
      </c>
      <c r="G17" s="36" t="s">
        <v>271</v>
      </c>
      <c r="H17" s="420">
        <v>0</v>
      </c>
      <c r="I17" s="288"/>
      <c r="J17" s="11"/>
      <c r="K17" s="11"/>
      <c r="L17" s="288"/>
      <c r="M17" s="11"/>
      <c r="N17" s="288"/>
      <c r="O17" s="288"/>
      <c r="P17" s="11"/>
      <c r="Q17" s="13" t="s">
        <v>264</v>
      </c>
      <c r="R17" s="93" t="s">
        <v>696</v>
      </c>
    </row>
    <row r="18" spans="1:19" s="13" customFormat="1">
      <c r="A18" s="13">
        <v>72</v>
      </c>
      <c r="B18" s="13">
        <v>93</v>
      </c>
      <c r="C18" s="13" t="s">
        <v>462</v>
      </c>
      <c r="D18" s="13" t="s">
        <v>390</v>
      </c>
      <c r="E18" s="13" t="s">
        <v>266</v>
      </c>
      <c r="F18" s="36" t="s">
        <v>475</v>
      </c>
      <c r="G18" s="36" t="s">
        <v>78</v>
      </c>
      <c r="H18" s="420">
        <v>0</v>
      </c>
      <c r="I18" s="288"/>
      <c r="J18" s="11"/>
      <c r="K18" s="11"/>
      <c r="L18" s="288"/>
      <c r="M18" s="11"/>
      <c r="N18" s="288"/>
      <c r="O18" s="288"/>
      <c r="P18" s="11"/>
      <c r="Q18" s="13" t="s">
        <v>264</v>
      </c>
      <c r="R18" s="93" t="s">
        <v>698</v>
      </c>
    </row>
    <row r="19" spans="1:19" s="13" customFormat="1">
      <c r="A19" s="13">
        <v>77</v>
      </c>
      <c r="B19" s="13">
        <v>97</v>
      </c>
      <c r="C19" s="13" t="s">
        <v>501</v>
      </c>
      <c r="D19" s="13" t="s">
        <v>390</v>
      </c>
      <c r="E19" s="13" t="s">
        <v>268</v>
      </c>
      <c r="F19" s="36" t="s">
        <v>424</v>
      </c>
      <c r="G19" s="36" t="s">
        <v>388</v>
      </c>
      <c r="H19" s="420">
        <v>0</v>
      </c>
      <c r="I19" s="288"/>
      <c r="J19" s="11"/>
      <c r="K19" s="11"/>
      <c r="L19" s="288"/>
      <c r="M19" s="11"/>
      <c r="N19" s="288"/>
      <c r="O19" s="288"/>
      <c r="P19" s="11"/>
      <c r="Q19" s="13" t="s">
        <v>264</v>
      </c>
      <c r="R19" s="93" t="s">
        <v>698</v>
      </c>
      <c r="S19" s="466"/>
    </row>
    <row r="20" spans="1:19" s="13" customFormat="1">
      <c r="A20" s="13">
        <v>78</v>
      </c>
      <c r="B20" s="13">
        <v>98</v>
      </c>
      <c r="C20" s="13">
        <v>5340</v>
      </c>
      <c r="D20" s="13" t="s">
        <v>390</v>
      </c>
      <c r="E20" s="13" t="s">
        <v>269</v>
      </c>
      <c r="F20" s="36" t="s">
        <v>507</v>
      </c>
      <c r="G20" s="36" t="s">
        <v>80</v>
      </c>
      <c r="H20" s="288">
        <v>20000000</v>
      </c>
      <c r="I20" s="288">
        <f>H20</f>
        <v>20000000</v>
      </c>
      <c r="J20" s="11">
        <v>44275</v>
      </c>
      <c r="K20" s="11">
        <f>J20+35</f>
        <v>44310</v>
      </c>
      <c r="L20" s="348">
        <v>0</v>
      </c>
      <c r="M20" s="11">
        <f>J20+180</f>
        <v>44455</v>
      </c>
      <c r="N20" s="288">
        <v>0</v>
      </c>
      <c r="O20" s="288">
        <f>I20-N20</f>
        <v>20000000</v>
      </c>
      <c r="P20" s="11">
        <v>44310</v>
      </c>
      <c r="Q20" s="13" t="s">
        <v>264</v>
      </c>
      <c r="R20" s="440" t="s">
        <v>699</v>
      </c>
      <c r="S20" s="466" t="s">
        <v>665</v>
      </c>
    </row>
    <row r="21" spans="1:19" s="13" customFormat="1">
      <c r="A21" s="13">
        <v>80</v>
      </c>
      <c r="B21" s="13">
        <v>100</v>
      </c>
      <c r="C21" s="13" t="s">
        <v>503</v>
      </c>
      <c r="D21" s="13" t="s">
        <v>390</v>
      </c>
      <c r="E21" s="13" t="s">
        <v>218</v>
      </c>
      <c r="F21" s="36" t="s">
        <v>508</v>
      </c>
      <c r="G21" s="36" t="s">
        <v>80</v>
      </c>
      <c r="H21" s="288">
        <v>0</v>
      </c>
      <c r="I21" s="288"/>
      <c r="J21" s="11"/>
      <c r="K21" s="11"/>
      <c r="L21" s="288"/>
      <c r="M21" s="11"/>
      <c r="N21" s="288"/>
      <c r="O21" s="288"/>
      <c r="P21" s="11"/>
      <c r="Q21" s="13" t="s">
        <v>264</v>
      </c>
      <c r="R21" s="43" t="s">
        <v>706</v>
      </c>
    </row>
    <row r="22" spans="1:19" s="13" customFormat="1">
      <c r="A22" s="13">
        <v>82</v>
      </c>
      <c r="B22" s="13">
        <v>102</v>
      </c>
      <c r="C22" s="13" t="s">
        <v>463</v>
      </c>
      <c r="D22" s="13" t="s">
        <v>390</v>
      </c>
      <c r="E22" s="13" t="s">
        <v>266</v>
      </c>
      <c r="F22" s="36" t="s">
        <v>476</v>
      </c>
      <c r="G22" s="36" t="s">
        <v>78</v>
      </c>
      <c r="H22" s="288">
        <v>0</v>
      </c>
      <c r="I22" s="288"/>
      <c r="J22" s="11"/>
      <c r="K22" s="11"/>
      <c r="L22" s="288"/>
      <c r="M22" s="11"/>
      <c r="N22" s="288"/>
      <c r="O22" s="288"/>
      <c r="P22" s="11"/>
      <c r="Q22" s="13" t="s">
        <v>264</v>
      </c>
      <c r="R22" s="93" t="s">
        <v>708</v>
      </c>
    </row>
    <row r="23" spans="1:19" s="13" customFormat="1">
      <c r="A23" s="13">
        <v>83</v>
      </c>
      <c r="B23" s="13">
        <v>104</v>
      </c>
      <c r="C23" s="13">
        <v>5341</v>
      </c>
      <c r="D23" s="13" t="s">
        <v>390</v>
      </c>
      <c r="E23" s="13" t="s">
        <v>218</v>
      </c>
      <c r="F23" s="36" t="s">
        <v>512</v>
      </c>
      <c r="G23" s="36" t="s">
        <v>80</v>
      </c>
      <c r="H23" s="288">
        <v>27000000</v>
      </c>
      <c r="I23" s="288">
        <f>H23</f>
        <v>27000000</v>
      </c>
      <c r="J23" s="11">
        <v>44286</v>
      </c>
      <c r="K23" s="11">
        <f>J23+35</f>
        <v>44321</v>
      </c>
      <c r="L23" s="288">
        <v>27000000</v>
      </c>
      <c r="M23" s="11">
        <f>J23+180</f>
        <v>44466</v>
      </c>
      <c r="N23" s="288">
        <v>0</v>
      </c>
      <c r="O23" s="288">
        <f>L23-N23</f>
        <v>27000000</v>
      </c>
      <c r="P23" s="11">
        <v>44414</v>
      </c>
      <c r="Q23" s="13" t="s">
        <v>272</v>
      </c>
      <c r="R23" s="93"/>
    </row>
    <row r="24" spans="1:19" s="13" customFormat="1">
      <c r="A24" s="13">
        <v>90</v>
      </c>
      <c r="B24" s="13">
        <v>106</v>
      </c>
      <c r="C24" s="13" t="s">
        <v>523</v>
      </c>
      <c r="D24" s="13" t="s">
        <v>390</v>
      </c>
      <c r="E24" s="13" t="s">
        <v>141</v>
      </c>
      <c r="F24" s="36" t="s">
        <v>342</v>
      </c>
      <c r="G24" s="36" t="s">
        <v>343</v>
      </c>
      <c r="H24" s="420">
        <v>0</v>
      </c>
      <c r="I24" s="288"/>
      <c r="J24" s="11"/>
      <c r="K24" s="11"/>
      <c r="L24" s="288"/>
      <c r="M24" s="11"/>
      <c r="N24" s="288"/>
      <c r="O24" s="288"/>
      <c r="P24" s="11"/>
      <c r="Q24" s="13" t="s">
        <v>272</v>
      </c>
      <c r="R24" s="11"/>
    </row>
    <row r="25" spans="1:19" s="13" customFormat="1">
      <c r="A25" s="13">
        <v>91</v>
      </c>
      <c r="B25" s="13">
        <v>107</v>
      </c>
      <c r="C25" s="13">
        <v>5342</v>
      </c>
      <c r="D25" s="13" t="s">
        <v>390</v>
      </c>
      <c r="E25" s="13" t="s">
        <v>266</v>
      </c>
      <c r="F25" s="36" t="s">
        <v>480</v>
      </c>
      <c r="G25" s="36" t="s">
        <v>78</v>
      </c>
      <c r="H25" s="420">
        <v>32000000</v>
      </c>
      <c r="I25" s="288">
        <f>H25</f>
        <v>32000000</v>
      </c>
      <c r="J25" s="11">
        <v>44286</v>
      </c>
      <c r="K25" s="11">
        <f>J25+35</f>
        <v>44321</v>
      </c>
      <c r="L25" s="288">
        <v>32000000</v>
      </c>
      <c r="M25" s="11">
        <f>J25+180</f>
        <v>44466</v>
      </c>
      <c r="N25" s="288">
        <v>0</v>
      </c>
      <c r="O25" s="288">
        <f>L25-N25</f>
        <v>32000000</v>
      </c>
      <c r="P25" s="11">
        <v>44401</v>
      </c>
      <c r="Q25" s="13" t="s">
        <v>272</v>
      </c>
      <c r="R25" s="11"/>
    </row>
    <row r="26" spans="1:19" s="13" customFormat="1">
      <c r="A26" s="13">
        <v>112</v>
      </c>
      <c r="B26" s="13">
        <v>42</v>
      </c>
      <c r="C26" s="13" t="s">
        <v>484</v>
      </c>
      <c r="D26" s="13" t="s">
        <v>390</v>
      </c>
      <c r="E26" s="13" t="s">
        <v>416</v>
      </c>
      <c r="F26" s="36" t="s">
        <v>485</v>
      </c>
      <c r="G26" s="36" t="s">
        <v>349</v>
      </c>
      <c r="H26" s="288">
        <v>0</v>
      </c>
      <c r="I26" s="288"/>
      <c r="J26" s="11"/>
      <c r="K26" s="11"/>
      <c r="L26" s="288"/>
      <c r="M26" s="11"/>
      <c r="N26" s="288"/>
      <c r="O26" s="312"/>
      <c r="P26" s="11"/>
      <c r="Q26" s="13" t="s">
        <v>242</v>
      </c>
      <c r="R26" s="93" t="s">
        <v>740</v>
      </c>
    </row>
    <row r="27" spans="1:19" s="13" customFormat="1">
      <c r="A27" s="13">
        <v>100</v>
      </c>
      <c r="B27" s="13">
        <v>110</v>
      </c>
      <c r="C27" s="13">
        <v>5376</v>
      </c>
      <c r="D27" s="13" t="s">
        <v>391</v>
      </c>
      <c r="E27" s="13" t="s">
        <v>269</v>
      </c>
      <c r="F27" s="36" t="s">
        <v>513</v>
      </c>
      <c r="G27" s="36" t="s">
        <v>80</v>
      </c>
      <c r="H27" s="288">
        <v>69152737</v>
      </c>
      <c r="I27" s="288">
        <f>H27</f>
        <v>69152737</v>
      </c>
      <c r="J27" s="11">
        <v>44356</v>
      </c>
      <c r="K27" s="11">
        <f>J27+35</f>
        <v>44391</v>
      </c>
      <c r="L27" s="288">
        <f>I27</f>
        <v>69152737</v>
      </c>
      <c r="M27" s="11">
        <f>J27+180</f>
        <v>44536</v>
      </c>
      <c r="N27" s="288">
        <v>45240000</v>
      </c>
      <c r="O27" s="288">
        <f>L27-N27</f>
        <v>23912737</v>
      </c>
      <c r="P27" s="11">
        <v>44541</v>
      </c>
      <c r="Q27" s="13" t="s">
        <v>272</v>
      </c>
      <c r="S27" s="466" t="s">
        <v>665</v>
      </c>
    </row>
    <row r="28" spans="1:19" s="13" customFormat="1">
      <c r="A28" s="13">
        <v>104</v>
      </c>
      <c r="B28" s="13">
        <v>111</v>
      </c>
      <c r="C28" s="13" t="s">
        <v>524</v>
      </c>
      <c r="D28" s="13" t="s">
        <v>390</v>
      </c>
      <c r="E28" s="13" t="s">
        <v>221</v>
      </c>
      <c r="F28" s="36" t="s">
        <v>529</v>
      </c>
      <c r="G28" s="36" t="s">
        <v>79</v>
      </c>
      <c r="H28" s="420">
        <v>0</v>
      </c>
      <c r="I28" s="288"/>
      <c r="J28" s="11"/>
      <c r="K28" s="11"/>
      <c r="L28" s="348"/>
      <c r="M28" s="11"/>
      <c r="N28" s="288"/>
      <c r="O28" s="288"/>
      <c r="P28" s="11"/>
      <c r="Q28" s="13" t="s">
        <v>272</v>
      </c>
      <c r="R28" s="93"/>
    </row>
    <row r="29" spans="1:19" s="13" customFormat="1">
      <c r="A29" s="13">
        <v>105</v>
      </c>
      <c r="B29" s="13">
        <v>112</v>
      </c>
      <c r="C29" s="13">
        <v>5377</v>
      </c>
      <c r="D29" s="13" t="s">
        <v>391</v>
      </c>
      <c r="E29" s="13" t="s">
        <v>269</v>
      </c>
      <c r="F29" s="36" t="s">
        <v>514</v>
      </c>
      <c r="G29" s="36" t="s">
        <v>80</v>
      </c>
      <c r="H29" s="288">
        <v>69152737</v>
      </c>
      <c r="I29" s="288">
        <f>H29</f>
        <v>69152737</v>
      </c>
      <c r="J29" s="11">
        <v>44357</v>
      </c>
      <c r="K29" s="11">
        <f>J29+35</f>
        <v>44392</v>
      </c>
      <c r="L29" s="288">
        <f>I29</f>
        <v>69152737</v>
      </c>
      <c r="M29" s="11">
        <f>J29+180</f>
        <v>44537</v>
      </c>
      <c r="N29" s="288">
        <v>632000</v>
      </c>
      <c r="O29" s="288">
        <f>L29-N29</f>
        <v>68520737</v>
      </c>
      <c r="P29" s="11">
        <v>44541</v>
      </c>
      <c r="Q29" s="13" t="s">
        <v>272</v>
      </c>
    </row>
    <row r="30" spans="1:19" s="13" customFormat="1">
      <c r="A30" s="13">
        <v>106</v>
      </c>
      <c r="B30" s="13">
        <v>114</v>
      </c>
      <c r="C30" s="13">
        <v>5379</v>
      </c>
      <c r="D30" s="13" t="s">
        <v>390</v>
      </c>
      <c r="E30" s="13" t="s">
        <v>266</v>
      </c>
      <c r="F30" s="36" t="s">
        <v>481</v>
      </c>
      <c r="G30" s="36" t="s">
        <v>78</v>
      </c>
      <c r="H30" s="420">
        <v>40000000</v>
      </c>
      <c r="I30" s="288">
        <f>H30</f>
        <v>40000000</v>
      </c>
      <c r="J30" s="11">
        <v>44362</v>
      </c>
      <c r="K30" s="11">
        <f>J30+35</f>
        <v>44397</v>
      </c>
      <c r="L30" s="288">
        <v>0</v>
      </c>
      <c r="M30" s="11">
        <f>J30+180</f>
        <v>44542</v>
      </c>
      <c r="N30" s="288">
        <v>0</v>
      </c>
      <c r="O30" s="288">
        <f>I30-L30</f>
        <v>40000000</v>
      </c>
      <c r="P30" s="11">
        <v>44401</v>
      </c>
      <c r="Q30" s="13" t="s">
        <v>272</v>
      </c>
      <c r="R30" s="11"/>
    </row>
    <row r="31" spans="1:19" s="13" customFormat="1">
      <c r="A31" s="13">
        <v>115</v>
      </c>
      <c r="B31" s="13">
        <v>118</v>
      </c>
      <c r="C31" s="13">
        <v>5380</v>
      </c>
      <c r="D31" s="13" t="s">
        <v>390</v>
      </c>
      <c r="E31" s="13" t="s">
        <v>141</v>
      </c>
      <c r="F31" s="36" t="s">
        <v>219</v>
      </c>
      <c r="G31" s="36" t="s">
        <v>142</v>
      </c>
      <c r="H31" s="420">
        <v>45000000</v>
      </c>
      <c r="I31" s="288">
        <f t="shared" ref="I31:I32" si="3">H31</f>
        <v>45000000</v>
      </c>
      <c r="J31" s="11">
        <v>44362</v>
      </c>
      <c r="K31" s="11">
        <f t="shared" ref="K31:K36" si="4">J31+35</f>
        <v>44397</v>
      </c>
      <c r="L31" s="288">
        <v>45000000</v>
      </c>
      <c r="M31" s="11">
        <f t="shared" ref="M31:M36" si="5">J31+180</f>
        <v>44542</v>
      </c>
      <c r="N31" s="288">
        <v>0</v>
      </c>
      <c r="O31" s="288">
        <f>L31-N31</f>
        <v>45000000</v>
      </c>
      <c r="P31" s="11">
        <v>44463</v>
      </c>
      <c r="Q31" s="13" t="s">
        <v>272</v>
      </c>
      <c r="R31" s="11"/>
    </row>
    <row r="32" spans="1:19" s="13" customFormat="1">
      <c r="A32" s="13">
        <v>117</v>
      </c>
      <c r="B32" s="13">
        <v>119</v>
      </c>
      <c r="C32" s="13">
        <v>5381</v>
      </c>
      <c r="D32" s="13" t="s">
        <v>390</v>
      </c>
      <c r="E32" s="13" t="s">
        <v>266</v>
      </c>
      <c r="F32" s="36" t="s">
        <v>482</v>
      </c>
      <c r="G32" s="36" t="s">
        <v>78</v>
      </c>
      <c r="H32" s="420">
        <v>40000000</v>
      </c>
      <c r="I32" s="288">
        <f t="shared" si="3"/>
        <v>40000000</v>
      </c>
      <c r="J32" s="11">
        <v>44362</v>
      </c>
      <c r="K32" s="11">
        <f t="shared" si="4"/>
        <v>44397</v>
      </c>
      <c r="L32" s="288">
        <v>40000000</v>
      </c>
      <c r="M32" s="11">
        <f t="shared" si="5"/>
        <v>44542</v>
      </c>
      <c r="N32" s="288">
        <v>0</v>
      </c>
      <c r="O32" s="288">
        <f>L32-N32</f>
        <v>40000000</v>
      </c>
      <c r="P32" s="11">
        <v>44414</v>
      </c>
      <c r="Q32" s="13" t="s">
        <v>272</v>
      </c>
      <c r="R32" s="11"/>
    </row>
    <row r="33" spans="1:19" s="5" customFormat="1" ht="11.4">
      <c r="A33" s="5" t="s">
        <v>146</v>
      </c>
      <c r="B33" s="5" t="s">
        <v>146</v>
      </c>
      <c r="C33" s="5">
        <v>5382</v>
      </c>
      <c r="D33" s="5" t="s">
        <v>625</v>
      </c>
      <c r="E33" s="5" t="s">
        <v>266</v>
      </c>
      <c r="F33" s="26" t="s">
        <v>330</v>
      </c>
      <c r="G33" s="26" t="s">
        <v>78</v>
      </c>
      <c r="H33" s="350">
        <v>40000000</v>
      </c>
      <c r="I33" s="347">
        <f>H33</f>
        <v>40000000</v>
      </c>
      <c r="J33" s="6">
        <v>44370</v>
      </c>
      <c r="K33" s="6">
        <f t="shared" si="4"/>
        <v>44405</v>
      </c>
      <c r="L33" s="347">
        <v>40000000</v>
      </c>
      <c r="M33" s="6">
        <f t="shared" si="5"/>
        <v>44550</v>
      </c>
      <c r="N33" s="347"/>
      <c r="O33" s="347"/>
      <c r="P33" s="6"/>
      <c r="Q33" s="5" t="s">
        <v>272</v>
      </c>
      <c r="R33" s="6"/>
    </row>
    <row r="34" spans="1:19" s="13" customFormat="1">
      <c r="A34" s="13" t="s">
        <v>146</v>
      </c>
      <c r="B34" s="13" t="s">
        <v>146</v>
      </c>
      <c r="C34" s="13">
        <v>5383</v>
      </c>
      <c r="D34" s="13" t="s">
        <v>390</v>
      </c>
      <c r="E34" s="13" t="s">
        <v>266</v>
      </c>
      <c r="F34" s="36" t="s">
        <v>654</v>
      </c>
      <c r="G34" s="36" t="s">
        <v>78</v>
      </c>
      <c r="H34" s="420">
        <v>42000000</v>
      </c>
      <c r="I34" s="288">
        <f>H34</f>
        <v>42000000</v>
      </c>
      <c r="J34" s="11">
        <v>44370</v>
      </c>
      <c r="K34" s="11">
        <f t="shared" si="4"/>
        <v>44405</v>
      </c>
      <c r="L34" s="288">
        <v>0</v>
      </c>
      <c r="M34" s="11">
        <f t="shared" si="5"/>
        <v>44550</v>
      </c>
      <c r="N34" s="288">
        <v>0</v>
      </c>
      <c r="O34" s="288">
        <f>I34-L34</f>
        <v>42000000</v>
      </c>
      <c r="P34" s="11">
        <v>44411</v>
      </c>
      <c r="Q34" s="13" t="s">
        <v>272</v>
      </c>
      <c r="R34" s="93"/>
    </row>
    <row r="35" spans="1:19" s="13" customFormat="1">
      <c r="A35" s="13" t="s">
        <v>146</v>
      </c>
      <c r="B35" s="13" t="s">
        <v>146</v>
      </c>
      <c r="C35" s="13">
        <v>5386</v>
      </c>
      <c r="D35" s="13" t="s">
        <v>390</v>
      </c>
      <c r="E35" s="13" t="s">
        <v>266</v>
      </c>
      <c r="F35" s="36" t="s">
        <v>467</v>
      </c>
      <c r="G35" s="36" t="s">
        <v>78</v>
      </c>
      <c r="H35" s="420">
        <v>50000000</v>
      </c>
      <c r="I35" s="288">
        <v>50000000</v>
      </c>
      <c r="J35" s="11">
        <v>44390</v>
      </c>
      <c r="K35" s="11">
        <f t="shared" si="4"/>
        <v>44425</v>
      </c>
      <c r="L35" s="288">
        <v>0</v>
      </c>
      <c r="M35" s="11">
        <f t="shared" si="5"/>
        <v>44570</v>
      </c>
      <c r="N35" s="288">
        <v>0</v>
      </c>
      <c r="O35" s="288">
        <f>I35-L35</f>
        <v>50000000</v>
      </c>
      <c r="P35" s="11">
        <v>44413</v>
      </c>
      <c r="Q35" s="13" t="s">
        <v>272</v>
      </c>
      <c r="R35" s="93"/>
    </row>
    <row r="36" spans="1:19" s="5" customFormat="1" ht="11.4">
      <c r="A36" s="5" t="s">
        <v>146</v>
      </c>
      <c r="B36" s="5" t="s">
        <v>146</v>
      </c>
      <c r="C36" s="5">
        <v>5393</v>
      </c>
      <c r="D36" s="5" t="s">
        <v>625</v>
      </c>
      <c r="E36" s="5" t="s">
        <v>679</v>
      </c>
      <c r="F36" s="26" t="s">
        <v>680</v>
      </c>
      <c r="G36" s="26" t="s">
        <v>681</v>
      </c>
      <c r="H36" s="350">
        <v>37000000</v>
      </c>
      <c r="I36" s="347">
        <f>H36</f>
        <v>37000000</v>
      </c>
      <c r="J36" s="6">
        <v>44404</v>
      </c>
      <c r="K36" s="6">
        <f t="shared" si="4"/>
        <v>44439</v>
      </c>
      <c r="L36" s="347">
        <v>37000000</v>
      </c>
      <c r="M36" s="6">
        <f t="shared" si="5"/>
        <v>44584</v>
      </c>
      <c r="N36" s="347"/>
      <c r="O36" s="347"/>
      <c r="P36" s="6"/>
      <c r="Q36" s="5" t="s">
        <v>272</v>
      </c>
      <c r="R36" s="142"/>
    </row>
    <row r="37" spans="1:19" s="13" customFormat="1">
      <c r="A37" s="13" t="s">
        <v>146</v>
      </c>
      <c r="B37" s="13" t="s">
        <v>146</v>
      </c>
      <c r="C37" s="13" t="s">
        <v>684</v>
      </c>
      <c r="D37" s="13" t="s">
        <v>390</v>
      </c>
      <c r="E37" s="13" t="s">
        <v>685</v>
      </c>
      <c r="F37" s="36" t="s">
        <v>686</v>
      </c>
      <c r="G37" s="36" t="s">
        <v>81</v>
      </c>
      <c r="H37" s="420">
        <v>0</v>
      </c>
      <c r="I37" s="288"/>
      <c r="J37" s="11"/>
      <c r="K37" s="11"/>
      <c r="L37" s="288"/>
      <c r="M37" s="11"/>
      <c r="N37" s="288"/>
      <c r="O37" s="288"/>
      <c r="P37" s="11"/>
      <c r="Q37" s="13" t="s">
        <v>272</v>
      </c>
      <c r="R37" s="93"/>
    </row>
    <row r="38" spans="1:19" s="13" customFormat="1">
      <c r="A38" s="13" t="s">
        <v>146</v>
      </c>
      <c r="B38" s="13" t="s">
        <v>146</v>
      </c>
      <c r="C38" s="13">
        <v>5394</v>
      </c>
      <c r="D38" s="13" t="s">
        <v>77</v>
      </c>
      <c r="E38" s="13" t="s">
        <v>268</v>
      </c>
      <c r="F38" s="36" t="s">
        <v>418</v>
      </c>
      <c r="G38" s="36" t="s">
        <v>419</v>
      </c>
      <c r="H38" s="420">
        <v>22500000</v>
      </c>
      <c r="I38" s="288">
        <f>H38</f>
        <v>22500000</v>
      </c>
      <c r="J38" s="11">
        <v>44404</v>
      </c>
      <c r="K38" s="11">
        <f t="shared" ref="K38" si="6">J38+35</f>
        <v>44439</v>
      </c>
      <c r="L38" s="288">
        <v>22500000</v>
      </c>
      <c r="M38" s="11">
        <f t="shared" ref="M38" si="7">J38+180</f>
        <v>44584</v>
      </c>
      <c r="N38" s="288"/>
      <c r="O38" s="288"/>
      <c r="P38" s="11"/>
      <c r="Q38" s="13" t="s">
        <v>272</v>
      </c>
      <c r="R38" s="93"/>
    </row>
    <row r="39" spans="1:19" s="13" customFormat="1">
      <c r="A39" s="13" t="s">
        <v>146</v>
      </c>
      <c r="B39" s="13" t="s">
        <v>146</v>
      </c>
      <c r="C39" s="13" t="s">
        <v>700</v>
      </c>
      <c r="D39" s="13" t="s">
        <v>390</v>
      </c>
      <c r="E39" s="13" t="s">
        <v>97</v>
      </c>
      <c r="F39" s="36" t="s">
        <v>701</v>
      </c>
      <c r="G39" s="36" t="s">
        <v>95</v>
      </c>
      <c r="H39" s="420">
        <v>0</v>
      </c>
      <c r="I39" s="288"/>
      <c r="J39" s="11"/>
      <c r="K39" s="11"/>
      <c r="L39" s="288"/>
      <c r="M39" s="11"/>
      <c r="N39" s="288"/>
      <c r="O39" s="288"/>
      <c r="P39" s="11"/>
      <c r="Q39" s="13" t="s">
        <v>272</v>
      </c>
      <c r="R39" s="93"/>
    </row>
    <row r="40" spans="1:19" s="13" customFormat="1">
      <c r="A40" s="13" t="s">
        <v>146</v>
      </c>
      <c r="B40" s="13" t="s">
        <v>146</v>
      </c>
      <c r="C40" s="13" t="s">
        <v>702</v>
      </c>
      <c r="D40" s="13" t="s">
        <v>390</v>
      </c>
      <c r="E40" s="13" t="s">
        <v>97</v>
      </c>
      <c r="F40" s="36" t="s">
        <v>703</v>
      </c>
      <c r="G40" s="36" t="s">
        <v>95</v>
      </c>
      <c r="H40" s="420">
        <v>0</v>
      </c>
      <c r="I40" s="288"/>
      <c r="J40" s="11"/>
      <c r="K40" s="11"/>
      <c r="L40" s="288"/>
      <c r="M40" s="11"/>
      <c r="N40" s="288"/>
      <c r="O40" s="288"/>
      <c r="P40" s="11"/>
      <c r="Q40" s="13" t="s">
        <v>272</v>
      </c>
      <c r="R40" s="93"/>
    </row>
    <row r="41" spans="1:19" s="13" customFormat="1">
      <c r="A41" s="13" t="s">
        <v>146</v>
      </c>
      <c r="B41" s="13" t="s">
        <v>146</v>
      </c>
      <c r="C41" s="13">
        <v>5395</v>
      </c>
      <c r="D41" s="13" t="s">
        <v>77</v>
      </c>
      <c r="E41" s="13" t="s">
        <v>266</v>
      </c>
      <c r="F41" s="36" t="s">
        <v>705</v>
      </c>
      <c r="G41" s="36" t="s">
        <v>78</v>
      </c>
      <c r="H41" s="420">
        <v>38000000</v>
      </c>
      <c r="I41" s="288">
        <f t="shared" ref="I41:I46" si="8">H41</f>
        <v>38000000</v>
      </c>
      <c r="J41" s="11">
        <v>44404</v>
      </c>
      <c r="K41" s="11">
        <f t="shared" ref="K41" si="9">J41+35</f>
        <v>44439</v>
      </c>
      <c r="L41" s="288">
        <v>38000000</v>
      </c>
      <c r="M41" s="11">
        <f t="shared" ref="M41" si="10">J41+180</f>
        <v>44584</v>
      </c>
      <c r="N41" s="288"/>
      <c r="O41" s="288"/>
      <c r="P41" s="11"/>
      <c r="Q41" s="13" t="s">
        <v>272</v>
      </c>
      <c r="R41" s="93"/>
    </row>
    <row r="42" spans="1:19" s="13" customFormat="1">
      <c r="A42" s="13" t="s">
        <v>146</v>
      </c>
      <c r="B42" s="13" t="s">
        <v>146</v>
      </c>
      <c r="C42" s="13">
        <v>5347</v>
      </c>
      <c r="D42" s="13" t="s">
        <v>390</v>
      </c>
      <c r="E42" s="13" t="s">
        <v>143</v>
      </c>
      <c r="F42" s="36" t="s">
        <v>707</v>
      </c>
      <c r="G42" s="36" t="s">
        <v>79</v>
      </c>
      <c r="H42" s="420">
        <v>25000000</v>
      </c>
      <c r="I42" s="288">
        <f t="shared" si="8"/>
        <v>25000000</v>
      </c>
      <c r="J42" s="11">
        <v>44294</v>
      </c>
      <c r="K42" s="11">
        <f t="shared" ref="K42:K49" si="11">J42+35</f>
        <v>44329</v>
      </c>
      <c r="L42" s="288">
        <v>25000000</v>
      </c>
      <c r="M42" s="11">
        <f t="shared" ref="M42:M49" si="12">J42+180</f>
        <v>44474</v>
      </c>
      <c r="N42" s="288">
        <v>0</v>
      </c>
      <c r="O42" s="288">
        <f>L42-N42</f>
        <v>25000000</v>
      </c>
      <c r="P42" s="11">
        <v>44448</v>
      </c>
      <c r="Q42" s="13" t="s">
        <v>272</v>
      </c>
      <c r="R42" s="93"/>
      <c r="S42" s="466" t="s">
        <v>709</v>
      </c>
    </row>
    <row r="43" spans="1:19" s="13" customFormat="1">
      <c r="A43" s="13" t="s">
        <v>146</v>
      </c>
      <c r="B43" s="13" t="s">
        <v>146</v>
      </c>
      <c r="C43" s="13">
        <v>5417</v>
      </c>
      <c r="D43" s="13" t="s">
        <v>390</v>
      </c>
      <c r="E43" s="13" t="s">
        <v>266</v>
      </c>
      <c r="F43" s="36" t="s">
        <v>474</v>
      </c>
      <c r="G43" s="36" t="s">
        <v>78</v>
      </c>
      <c r="H43" s="420">
        <v>50000000</v>
      </c>
      <c r="I43" s="288">
        <f t="shared" si="8"/>
        <v>50000000</v>
      </c>
      <c r="J43" s="11">
        <v>44419</v>
      </c>
      <c r="K43" s="11">
        <f t="shared" si="11"/>
        <v>44454</v>
      </c>
      <c r="L43" s="288">
        <v>0</v>
      </c>
      <c r="M43" s="11">
        <f t="shared" si="12"/>
        <v>44599</v>
      </c>
      <c r="N43" s="288">
        <v>0</v>
      </c>
      <c r="O43" s="288">
        <f>I43-N43</f>
        <v>50000000</v>
      </c>
      <c r="P43" s="11">
        <v>44421</v>
      </c>
      <c r="Q43" s="13" t="s">
        <v>272</v>
      </c>
      <c r="R43" s="93"/>
    </row>
    <row r="44" spans="1:19" s="13" customFormat="1">
      <c r="A44" s="13" t="s">
        <v>146</v>
      </c>
      <c r="B44" s="13" t="s">
        <v>146</v>
      </c>
      <c r="C44" s="13">
        <v>5348</v>
      </c>
      <c r="D44" s="13" t="s">
        <v>391</v>
      </c>
      <c r="E44" s="13" t="s">
        <v>168</v>
      </c>
      <c r="F44" s="36" t="s">
        <v>710</v>
      </c>
      <c r="G44" s="36" t="s">
        <v>169</v>
      </c>
      <c r="H44" s="420">
        <v>2000000</v>
      </c>
      <c r="I44" s="288">
        <f t="shared" si="8"/>
        <v>2000000</v>
      </c>
      <c r="J44" s="11">
        <v>44294</v>
      </c>
      <c r="K44" s="11">
        <f t="shared" si="11"/>
        <v>44329</v>
      </c>
      <c r="L44" s="288">
        <v>2000000</v>
      </c>
      <c r="M44" s="11">
        <f t="shared" si="12"/>
        <v>44474</v>
      </c>
      <c r="N44" s="288">
        <v>0</v>
      </c>
      <c r="O44" s="288">
        <f>I44-N44</f>
        <v>2000000</v>
      </c>
      <c r="P44" s="11">
        <v>44345</v>
      </c>
      <c r="Q44" s="13" t="s">
        <v>272</v>
      </c>
      <c r="R44" s="93"/>
    </row>
    <row r="45" spans="1:19" s="5" customFormat="1" ht="11.4">
      <c r="A45" s="5" t="s">
        <v>146</v>
      </c>
      <c r="B45" s="5" t="s">
        <v>146</v>
      </c>
      <c r="C45" s="5">
        <v>5392</v>
      </c>
      <c r="D45" s="5" t="s">
        <v>625</v>
      </c>
      <c r="E45" s="5" t="s">
        <v>269</v>
      </c>
      <c r="F45" s="26" t="s">
        <v>507</v>
      </c>
      <c r="G45" s="26" t="s">
        <v>80</v>
      </c>
      <c r="H45" s="350">
        <v>20000000</v>
      </c>
      <c r="I45" s="347">
        <f t="shared" si="8"/>
        <v>20000000</v>
      </c>
      <c r="J45" s="6">
        <v>44401</v>
      </c>
      <c r="K45" s="6">
        <f t="shared" si="11"/>
        <v>44436</v>
      </c>
      <c r="L45" s="347">
        <v>20000000</v>
      </c>
      <c r="M45" s="6">
        <f t="shared" si="12"/>
        <v>44581</v>
      </c>
      <c r="N45" s="347"/>
      <c r="O45" s="347"/>
      <c r="P45" s="6"/>
      <c r="Q45" s="5" t="s">
        <v>272</v>
      </c>
      <c r="R45" s="142"/>
      <c r="S45" s="377" t="s">
        <v>666</v>
      </c>
    </row>
    <row r="46" spans="1:19" s="5" customFormat="1" ht="11.4">
      <c r="A46" s="5" t="s">
        <v>146</v>
      </c>
      <c r="B46" s="5" t="s">
        <v>146</v>
      </c>
      <c r="C46" s="5">
        <v>5418</v>
      </c>
      <c r="D46" s="5" t="s">
        <v>625</v>
      </c>
      <c r="E46" s="5" t="s">
        <v>269</v>
      </c>
      <c r="F46" s="26" t="s">
        <v>736</v>
      </c>
      <c r="G46" s="26" t="s">
        <v>230</v>
      </c>
      <c r="H46" s="347">
        <v>69152737</v>
      </c>
      <c r="I46" s="347">
        <f t="shared" si="8"/>
        <v>69152737</v>
      </c>
      <c r="J46" s="6">
        <v>44419</v>
      </c>
      <c r="K46" s="6">
        <f t="shared" si="11"/>
        <v>44454</v>
      </c>
      <c r="L46" s="347">
        <f>I46</f>
        <v>69152737</v>
      </c>
      <c r="M46" s="6">
        <f t="shared" si="12"/>
        <v>44599</v>
      </c>
      <c r="N46" s="423"/>
      <c r="O46" s="347"/>
      <c r="P46" s="6"/>
      <c r="Q46" s="5" t="s">
        <v>272</v>
      </c>
      <c r="R46" s="142"/>
    </row>
    <row r="47" spans="1:19" s="13" customFormat="1">
      <c r="A47" s="13" t="s">
        <v>146</v>
      </c>
      <c r="B47" s="13" t="s">
        <v>146</v>
      </c>
      <c r="C47" s="13">
        <v>5420</v>
      </c>
      <c r="D47" s="13" t="s">
        <v>77</v>
      </c>
      <c r="E47" s="13" t="s">
        <v>468</v>
      </c>
      <c r="F47" s="36" t="s">
        <v>469</v>
      </c>
      <c r="G47" s="36" t="s">
        <v>470</v>
      </c>
      <c r="H47" s="288">
        <v>30000000</v>
      </c>
      <c r="I47" s="288">
        <f>H47</f>
        <v>30000000</v>
      </c>
      <c r="J47" s="11">
        <v>44420</v>
      </c>
      <c r="K47" s="11">
        <f t="shared" si="11"/>
        <v>44455</v>
      </c>
      <c r="L47" s="288">
        <v>30000000</v>
      </c>
      <c r="M47" s="11">
        <f t="shared" si="12"/>
        <v>44600</v>
      </c>
      <c r="N47" s="288"/>
      <c r="O47" s="288"/>
      <c r="P47" s="11"/>
      <c r="Q47" s="13" t="s">
        <v>264</v>
      </c>
      <c r="R47" s="440" t="s">
        <v>787</v>
      </c>
    </row>
    <row r="48" spans="1:19" s="13" customFormat="1">
      <c r="A48" s="13" t="s">
        <v>146</v>
      </c>
      <c r="B48" s="13" t="s">
        <v>146</v>
      </c>
      <c r="C48" s="13">
        <v>5421</v>
      </c>
      <c r="D48" s="13" t="s">
        <v>77</v>
      </c>
      <c r="E48" s="13" t="s">
        <v>742</v>
      </c>
      <c r="F48" s="36" t="s">
        <v>743</v>
      </c>
      <c r="G48" s="36" t="s">
        <v>744</v>
      </c>
      <c r="H48" s="288">
        <v>35000000</v>
      </c>
      <c r="I48" s="288">
        <f>H48</f>
        <v>35000000</v>
      </c>
      <c r="J48" s="11">
        <v>44420</v>
      </c>
      <c r="K48" s="11">
        <f t="shared" si="11"/>
        <v>44455</v>
      </c>
      <c r="L48" s="288">
        <v>35000000</v>
      </c>
      <c r="M48" s="11">
        <f t="shared" si="12"/>
        <v>44600</v>
      </c>
      <c r="N48" s="348"/>
      <c r="O48" s="288"/>
      <c r="P48" s="11"/>
      <c r="Q48" s="13" t="s">
        <v>241</v>
      </c>
      <c r="R48" s="440" t="s">
        <v>788</v>
      </c>
    </row>
    <row r="49" spans="1:19" s="441" customFormat="1">
      <c r="A49" s="441" t="s">
        <v>146</v>
      </c>
      <c r="B49" s="441" t="s">
        <v>146</v>
      </c>
      <c r="C49" s="441">
        <v>5422</v>
      </c>
      <c r="D49" s="441" t="s">
        <v>77</v>
      </c>
      <c r="E49" s="441" t="s">
        <v>265</v>
      </c>
      <c r="F49" s="442" t="s">
        <v>745</v>
      </c>
      <c r="G49" s="442" t="s">
        <v>211</v>
      </c>
      <c r="H49" s="386">
        <v>22000000</v>
      </c>
      <c r="I49" s="386">
        <f>H49</f>
        <v>22000000</v>
      </c>
      <c r="J49" s="443">
        <v>44420</v>
      </c>
      <c r="K49" s="443">
        <f t="shared" si="11"/>
        <v>44455</v>
      </c>
      <c r="L49" s="386">
        <v>22000000</v>
      </c>
      <c r="M49" s="443">
        <f t="shared" si="12"/>
        <v>44600</v>
      </c>
      <c r="N49" s="386"/>
      <c r="O49" s="386"/>
      <c r="P49" s="443"/>
      <c r="Q49" s="441" t="s">
        <v>272</v>
      </c>
      <c r="R49" s="592"/>
    </row>
    <row r="50" spans="1:19" s="534" customFormat="1">
      <c r="A50" s="534" t="s">
        <v>146</v>
      </c>
      <c r="B50" s="534" t="s">
        <v>146</v>
      </c>
      <c r="C50" s="534" t="s">
        <v>750</v>
      </c>
      <c r="D50" s="534" t="s">
        <v>43</v>
      </c>
      <c r="E50" s="534" t="s">
        <v>269</v>
      </c>
      <c r="F50" s="535" t="s">
        <v>496</v>
      </c>
      <c r="G50" s="535" t="s">
        <v>497</v>
      </c>
      <c r="H50" s="536"/>
      <c r="I50" s="536"/>
      <c r="J50" s="537"/>
      <c r="K50" s="537"/>
      <c r="L50" s="536"/>
      <c r="M50" s="537"/>
      <c r="N50" s="536"/>
      <c r="O50" s="536"/>
      <c r="P50" s="537"/>
      <c r="Q50" s="534" t="s">
        <v>272</v>
      </c>
      <c r="R50" s="538"/>
    </row>
    <row r="51" spans="1:19" s="534" customFormat="1">
      <c r="A51" s="534" t="s">
        <v>146</v>
      </c>
      <c r="B51" s="534" t="s">
        <v>146</v>
      </c>
      <c r="C51" s="534" t="s">
        <v>751</v>
      </c>
      <c r="D51" s="534" t="s">
        <v>43</v>
      </c>
      <c r="E51" s="534" t="s">
        <v>97</v>
      </c>
      <c r="F51" s="535" t="s">
        <v>752</v>
      </c>
      <c r="G51" s="535" t="s">
        <v>95</v>
      </c>
      <c r="H51" s="536"/>
      <c r="I51" s="536"/>
      <c r="J51" s="537"/>
      <c r="K51" s="537"/>
      <c r="L51" s="536"/>
      <c r="M51" s="537"/>
      <c r="N51" s="536"/>
      <c r="O51" s="536"/>
      <c r="P51" s="537"/>
      <c r="Q51" s="534" t="s">
        <v>264</v>
      </c>
      <c r="R51" s="538"/>
    </row>
    <row r="52" spans="1:19" s="534" customFormat="1">
      <c r="A52" s="534" t="s">
        <v>146</v>
      </c>
      <c r="B52" s="534" t="s">
        <v>146</v>
      </c>
      <c r="C52" s="534" t="s">
        <v>754</v>
      </c>
      <c r="D52" s="534" t="s">
        <v>43</v>
      </c>
      <c r="E52" s="534" t="s">
        <v>487</v>
      </c>
      <c r="F52" s="535" t="s">
        <v>490</v>
      </c>
      <c r="G52" s="535" t="s">
        <v>489</v>
      </c>
      <c r="H52" s="536"/>
      <c r="I52" s="536"/>
      <c r="J52" s="537"/>
      <c r="K52" s="537"/>
      <c r="L52" s="536"/>
      <c r="M52" s="537"/>
      <c r="N52" s="536"/>
      <c r="O52" s="536"/>
      <c r="P52" s="537"/>
      <c r="Q52" s="534" t="s">
        <v>241</v>
      </c>
      <c r="R52" s="538"/>
    </row>
    <row r="53" spans="1:19" s="534" customFormat="1">
      <c r="A53" s="534" t="s">
        <v>146</v>
      </c>
      <c r="B53" s="534" t="s">
        <v>146</v>
      </c>
      <c r="C53" s="534" t="s">
        <v>756</v>
      </c>
      <c r="D53" s="534" t="s">
        <v>43</v>
      </c>
      <c r="E53" s="534" t="s">
        <v>757</v>
      </c>
      <c r="F53" s="535" t="s">
        <v>758</v>
      </c>
      <c r="G53" s="535" t="s">
        <v>759</v>
      </c>
      <c r="H53" s="536"/>
      <c r="I53" s="536"/>
      <c r="J53" s="537"/>
      <c r="K53" s="537"/>
      <c r="L53" s="536"/>
      <c r="M53" s="537"/>
      <c r="N53" s="536"/>
      <c r="O53" s="536"/>
      <c r="P53" s="537"/>
      <c r="Q53" s="534" t="s">
        <v>272</v>
      </c>
      <c r="R53" s="538"/>
    </row>
    <row r="54" spans="1:19" s="534" customFormat="1">
      <c r="A54" s="534" t="s">
        <v>146</v>
      </c>
      <c r="B54" s="534" t="s">
        <v>146</v>
      </c>
      <c r="C54" s="534" t="s">
        <v>768</v>
      </c>
      <c r="D54" s="534" t="s">
        <v>43</v>
      </c>
      <c r="E54" s="534" t="s">
        <v>265</v>
      </c>
      <c r="F54" s="535" t="s">
        <v>454</v>
      </c>
      <c r="G54" s="535" t="s">
        <v>211</v>
      </c>
      <c r="H54" s="536"/>
      <c r="I54" s="536"/>
      <c r="J54" s="537"/>
      <c r="K54" s="537"/>
      <c r="L54" s="536"/>
      <c r="M54" s="537"/>
      <c r="N54" s="536"/>
      <c r="O54" s="536"/>
      <c r="P54" s="537"/>
      <c r="Q54" s="534" t="s">
        <v>272</v>
      </c>
      <c r="R54" s="538"/>
    </row>
    <row r="55" spans="1:19" s="5" customFormat="1" ht="11.4">
      <c r="A55" s="5" t="s">
        <v>146</v>
      </c>
      <c r="B55" s="5" t="s">
        <v>146</v>
      </c>
      <c r="C55" s="5">
        <v>5419</v>
      </c>
      <c r="D55" s="5" t="s">
        <v>625</v>
      </c>
      <c r="E55" s="5" t="s">
        <v>98</v>
      </c>
      <c r="F55" s="26" t="s">
        <v>771</v>
      </c>
      <c r="G55" s="26" t="s">
        <v>79</v>
      </c>
      <c r="H55" s="347">
        <v>52000000</v>
      </c>
      <c r="I55" s="347">
        <f>H55</f>
        <v>52000000</v>
      </c>
      <c r="J55" s="6">
        <v>44419</v>
      </c>
      <c r="K55" s="6">
        <f>J55+35</f>
        <v>44454</v>
      </c>
      <c r="L55" s="347">
        <v>52000000</v>
      </c>
      <c r="M55" s="6">
        <f>J55+180</f>
        <v>44599</v>
      </c>
      <c r="N55" s="347"/>
      <c r="O55" s="347"/>
      <c r="P55" s="6"/>
      <c r="Q55" s="5" t="s">
        <v>272</v>
      </c>
      <c r="R55" s="142"/>
      <c r="S55" s="377" t="s">
        <v>786</v>
      </c>
    </row>
    <row r="56" spans="1:19" s="13" customFormat="1">
      <c r="A56" s="534" t="s">
        <v>146</v>
      </c>
      <c r="B56" s="534" t="s">
        <v>146</v>
      </c>
      <c r="C56" s="534" t="s">
        <v>776</v>
      </c>
      <c r="D56" s="534" t="s">
        <v>43</v>
      </c>
      <c r="E56" s="534" t="s">
        <v>218</v>
      </c>
      <c r="F56" s="535" t="s">
        <v>512</v>
      </c>
      <c r="G56" s="535" t="s">
        <v>80</v>
      </c>
      <c r="H56" s="536"/>
      <c r="I56" s="536"/>
      <c r="J56" s="537"/>
      <c r="K56" s="537"/>
      <c r="L56" s="536"/>
      <c r="M56" s="537"/>
      <c r="N56" s="536"/>
      <c r="O56" s="536"/>
      <c r="P56" s="537"/>
      <c r="Q56" s="534" t="s">
        <v>272</v>
      </c>
      <c r="R56" s="93"/>
    </row>
    <row r="57" spans="1:19" s="13" customFormat="1">
      <c r="A57" s="534" t="s">
        <v>146</v>
      </c>
      <c r="B57" s="534" t="s">
        <v>146</v>
      </c>
      <c r="C57" s="534" t="s">
        <v>777</v>
      </c>
      <c r="D57" s="534" t="s">
        <v>43</v>
      </c>
      <c r="E57" s="534" t="s">
        <v>267</v>
      </c>
      <c r="F57" s="535" t="s">
        <v>778</v>
      </c>
      <c r="G57" s="535" t="s">
        <v>215</v>
      </c>
      <c r="H57" s="536"/>
      <c r="I57" s="536"/>
      <c r="J57" s="537"/>
      <c r="K57" s="537"/>
      <c r="L57" s="536"/>
      <c r="M57" s="537"/>
      <c r="N57" s="536"/>
      <c r="O57" s="536"/>
      <c r="P57" s="537"/>
      <c r="Q57" s="534" t="s">
        <v>272</v>
      </c>
      <c r="R57" s="93"/>
    </row>
    <row r="58" spans="1:19" s="13" customFormat="1">
      <c r="A58" s="534" t="s">
        <v>146</v>
      </c>
      <c r="B58" s="534" t="s">
        <v>146</v>
      </c>
      <c r="C58" s="534" t="s">
        <v>779</v>
      </c>
      <c r="D58" s="534" t="s">
        <v>43</v>
      </c>
      <c r="E58" s="534" t="s">
        <v>269</v>
      </c>
      <c r="F58" s="535" t="s">
        <v>506</v>
      </c>
      <c r="G58" s="535" t="s">
        <v>80</v>
      </c>
      <c r="H58" s="536"/>
      <c r="I58" s="536"/>
      <c r="J58" s="537"/>
      <c r="K58" s="537"/>
      <c r="L58" s="536"/>
      <c r="M58" s="537"/>
      <c r="N58" s="536"/>
      <c r="O58" s="536"/>
      <c r="P58" s="537"/>
      <c r="Q58" s="534" t="s">
        <v>272</v>
      </c>
      <c r="R58" s="93"/>
    </row>
    <row r="59" spans="1:19" s="13" customFormat="1">
      <c r="A59" s="534" t="s">
        <v>146</v>
      </c>
      <c r="B59" s="534" t="s">
        <v>146</v>
      </c>
      <c r="C59" s="534" t="s">
        <v>780</v>
      </c>
      <c r="D59" s="534" t="s">
        <v>43</v>
      </c>
      <c r="E59" s="534" t="s">
        <v>97</v>
      </c>
      <c r="F59" s="535" t="s">
        <v>781</v>
      </c>
      <c r="G59" s="535" t="s">
        <v>95</v>
      </c>
      <c r="H59" s="536"/>
      <c r="I59" s="536"/>
      <c r="J59" s="537"/>
      <c r="K59" s="537"/>
      <c r="L59" s="536"/>
      <c r="M59" s="537"/>
      <c r="N59" s="536"/>
      <c r="O59" s="536"/>
      <c r="P59" s="537"/>
      <c r="Q59" s="534" t="s">
        <v>272</v>
      </c>
      <c r="R59" s="93"/>
    </row>
    <row r="60" spans="1:19" s="13" customFormat="1">
      <c r="A60" s="534" t="s">
        <v>146</v>
      </c>
      <c r="B60" s="534" t="s">
        <v>146</v>
      </c>
      <c r="C60" s="534" t="s">
        <v>782</v>
      </c>
      <c r="D60" s="534" t="s">
        <v>43</v>
      </c>
      <c r="E60" s="534" t="s">
        <v>266</v>
      </c>
      <c r="F60" s="535" t="s">
        <v>482</v>
      </c>
      <c r="G60" s="535" t="s">
        <v>78</v>
      </c>
      <c r="H60" s="536"/>
      <c r="I60" s="536"/>
      <c r="J60" s="537"/>
      <c r="K60" s="537"/>
      <c r="L60" s="536"/>
      <c r="M60" s="537"/>
      <c r="N60" s="536"/>
      <c r="O60" s="536"/>
      <c r="P60" s="537"/>
      <c r="Q60" s="534" t="s">
        <v>272</v>
      </c>
      <c r="R60" s="93"/>
    </row>
    <row r="61" spans="1:19">
      <c r="A61" s="13"/>
      <c r="B61" s="13"/>
      <c r="E61" s="201"/>
      <c r="F61" s="13"/>
      <c r="G61" s="448"/>
      <c r="H61" s="449"/>
      <c r="I61" s="450"/>
      <c r="J61" s="3"/>
      <c r="K61" s="3"/>
      <c r="L61" s="83"/>
      <c r="M61" s="3"/>
    </row>
    <row r="62" spans="1:19">
      <c r="C62" s="13"/>
      <c r="D62" s="13"/>
      <c r="E62" s="13"/>
      <c r="F62" s="13" t="s">
        <v>19</v>
      </c>
      <c r="G62" s="13"/>
      <c r="H62" s="262">
        <f>SUM(H7:H61)</f>
        <v>1079110948</v>
      </c>
      <c r="I62" s="262">
        <f>SUM(I7:I61)</f>
        <v>1079110948</v>
      </c>
      <c r="J62" s="10"/>
      <c r="K62" s="10"/>
      <c r="L62" s="262">
        <f>SUM(L7:L61)</f>
        <v>852110948</v>
      </c>
      <c r="M62" s="10"/>
      <c r="N62" s="262">
        <f>SUM(N7:N61)</f>
        <v>60872000</v>
      </c>
      <c r="O62" s="262">
        <f>SUM(O7:O61)</f>
        <v>652586211</v>
      </c>
      <c r="P62" s="13"/>
    </row>
    <row r="63" spans="1:19">
      <c r="C63" s="43"/>
      <c r="D63" s="43"/>
      <c r="E63" s="148"/>
      <c r="F63" s="13"/>
      <c r="H63" s="76"/>
      <c r="J63" s="11"/>
      <c r="K63" s="11"/>
      <c r="L63" s="9"/>
      <c r="M63" s="6"/>
      <c r="O63" s="1"/>
    </row>
    <row r="64" spans="1:19">
      <c r="F64" s="13" t="s">
        <v>43</v>
      </c>
      <c r="G64" s="5"/>
      <c r="H64" s="34">
        <f>H62-I62</f>
        <v>0</v>
      </c>
      <c r="I64" s="9"/>
      <c r="J64" s="3"/>
      <c r="K64" s="3"/>
      <c r="L64" s="9"/>
      <c r="O64" s="1"/>
    </row>
    <row r="65" spans="1:17">
      <c r="G65" s="5"/>
      <c r="H65" s="67"/>
      <c r="I65" s="9"/>
      <c r="J65" s="3"/>
      <c r="L65" s="9"/>
      <c r="N65" s="76"/>
      <c r="O65" s="1"/>
    </row>
    <row r="66" spans="1:17">
      <c r="A66" s="43"/>
      <c r="B66" s="43"/>
      <c r="F66" s="58" t="s">
        <v>10</v>
      </c>
      <c r="G66" s="5"/>
      <c r="H66" s="77">
        <f>E1-I62+O62+G72</f>
        <v>167862584</v>
      </c>
      <c r="I66" s="291"/>
      <c r="J66" s="3"/>
      <c r="L66" s="83"/>
      <c r="M66" s="138"/>
      <c r="O66" s="1"/>
      <c r="Q66" s="13"/>
    </row>
    <row r="67" spans="1:17">
      <c r="F67" s="58"/>
      <c r="G67" s="5"/>
      <c r="H67" s="124"/>
      <c r="I67" s="194"/>
      <c r="J67" s="3"/>
      <c r="L67" s="9"/>
      <c r="M67" s="138"/>
      <c r="O67" s="1"/>
    </row>
    <row r="68" spans="1:17">
      <c r="F68" s="58"/>
      <c r="G68" s="5"/>
      <c r="H68" s="124"/>
      <c r="I68" s="291"/>
      <c r="J68" s="3"/>
      <c r="K68" s="3"/>
      <c r="L68" s="9"/>
      <c r="M68" s="138"/>
      <c r="O68" s="1"/>
    </row>
    <row r="69" spans="1:17">
      <c r="C69" s="43"/>
      <c r="D69" s="43"/>
      <c r="E69" s="148"/>
      <c r="F69" s="13"/>
      <c r="G69" s="13"/>
      <c r="H69" s="12"/>
      <c r="I69" s="41"/>
      <c r="J69" s="13"/>
      <c r="K69" s="11"/>
      <c r="L69" s="400"/>
      <c r="M69" s="11"/>
      <c r="N69" s="57"/>
      <c r="O69" s="12"/>
      <c r="P69" s="13"/>
    </row>
    <row r="70" spans="1:17">
      <c r="C70" s="13">
        <v>5252</v>
      </c>
      <c r="D70" s="13" t="s">
        <v>77</v>
      </c>
      <c r="E70" s="13" t="s">
        <v>98</v>
      </c>
      <c r="F70" s="13" t="s">
        <v>94</v>
      </c>
      <c r="G70" s="66">
        <v>45000000</v>
      </c>
      <c r="H70" s="287" t="s">
        <v>784</v>
      </c>
      <c r="I70" s="41"/>
      <c r="J70" s="36"/>
      <c r="K70" s="13"/>
      <c r="L70" s="197"/>
      <c r="M70" s="11"/>
      <c r="N70" s="57"/>
      <c r="O70" s="12"/>
      <c r="P70" s="13"/>
    </row>
    <row r="71" spans="1:17">
      <c r="C71" s="13">
        <v>5253</v>
      </c>
      <c r="D71" s="13" t="s">
        <v>77</v>
      </c>
      <c r="E71" s="13" t="s">
        <v>98</v>
      </c>
      <c r="F71" s="13" t="s">
        <v>94</v>
      </c>
      <c r="G71" s="521">
        <v>7000000</v>
      </c>
      <c r="H71" s="287" t="s">
        <v>785</v>
      </c>
      <c r="I71" s="41"/>
      <c r="J71" s="36"/>
      <c r="K71" s="13"/>
      <c r="L71" s="197"/>
      <c r="M71" s="11"/>
      <c r="N71" s="57"/>
      <c r="O71" s="12"/>
      <c r="P71" s="13"/>
    </row>
    <row r="72" spans="1:17">
      <c r="F72" s="13"/>
      <c r="G72" s="294">
        <f>SUM(G70:G71)</f>
        <v>52000000</v>
      </c>
      <c r="H72" s="12"/>
      <c r="I72" s="41"/>
      <c r="J72" s="13"/>
      <c r="K72" s="13"/>
      <c r="L72" s="197"/>
      <c r="M72" s="11"/>
      <c r="N72" s="57"/>
      <c r="O72" s="12"/>
      <c r="P72" s="13"/>
    </row>
    <row r="73" spans="1:17">
      <c r="I73" s="41"/>
      <c r="J73" s="13"/>
      <c r="K73" s="13"/>
      <c r="L73" s="396"/>
      <c r="M73" s="11"/>
      <c r="N73" s="57"/>
      <c r="O73" s="12"/>
      <c r="P73" s="13"/>
    </row>
    <row r="74" spans="1:17">
      <c r="G74" s="83"/>
      <c r="L74" s="409"/>
    </row>
    <row r="75" spans="1:17">
      <c r="C75" s="13"/>
      <c r="D75" s="13"/>
      <c r="E75" s="13"/>
      <c r="F75" s="36"/>
    </row>
    <row r="76" spans="1:17">
      <c r="G76" s="2"/>
    </row>
    <row r="77" spans="1:17">
      <c r="G77" s="140"/>
    </row>
    <row r="78" spans="1:17">
      <c r="G78" s="140"/>
    </row>
  </sheetData>
  <autoFilter ref="A6:S6" xr:uid="{00000000-0001-0000-0600-000000000000}"/>
  <phoneticPr fontId="3" type="noConversion"/>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14</vt:i4>
      </vt:variant>
    </vt:vector>
  </HeadingPairs>
  <TitlesOfParts>
    <vt:vector size="41" baseType="lpstr">
      <vt:lpstr>Totals</vt:lpstr>
      <vt:lpstr>2025 CF</vt:lpstr>
      <vt:lpstr>Aug 15</vt:lpstr>
      <vt:lpstr>SC1 MRB</vt:lpstr>
      <vt:lpstr>SC2 State Voted</vt:lpstr>
      <vt:lpstr>SC3 Small Issue IDBs</vt:lpstr>
      <vt:lpstr>SC4 TSAHC</vt:lpstr>
      <vt:lpstr>SC4 MF- TDHCA</vt:lpstr>
      <vt:lpstr>SC4 MF- Local Collapse</vt:lpstr>
      <vt:lpstr>REGION 1</vt:lpstr>
      <vt:lpstr>REGION 2</vt:lpstr>
      <vt:lpstr>REGION 3</vt:lpstr>
      <vt:lpstr>REGION 4</vt:lpstr>
      <vt:lpstr>REGION 5</vt:lpstr>
      <vt:lpstr>REGION 6</vt:lpstr>
      <vt:lpstr>REGION 7</vt:lpstr>
      <vt:lpstr>REGION 8</vt:lpstr>
      <vt:lpstr>REGION 9</vt:lpstr>
      <vt:lpstr>REGION 10</vt:lpstr>
      <vt:lpstr>REGION 11</vt:lpstr>
      <vt:lpstr>REGION 12</vt:lpstr>
      <vt:lpstr>REGION 13</vt:lpstr>
      <vt:lpstr>SC5 OTHER</vt:lpstr>
      <vt:lpstr>2022 CF</vt:lpstr>
      <vt:lpstr>2023 CF</vt:lpstr>
      <vt:lpstr>2024 CF</vt:lpstr>
      <vt:lpstr>Bond Buyer</vt:lpstr>
      <vt:lpstr>'REGION 6'!_Hlk75159162</vt:lpstr>
      <vt:lpstr>'REGION 1'!Print_Area</vt:lpstr>
      <vt:lpstr>'REGION 2'!Print_Area</vt:lpstr>
      <vt:lpstr>'REGION 3'!Print_Area</vt:lpstr>
      <vt:lpstr>'REGION 6'!Print_Area</vt:lpstr>
      <vt:lpstr>'SC1 MRB'!Print_Area</vt:lpstr>
      <vt:lpstr>'SC2 State Voted'!Print_Area</vt:lpstr>
      <vt:lpstr>'SC3 Small Issue IDBs'!Print_Area</vt:lpstr>
      <vt:lpstr>'SC4 MF- TDHCA'!Print_Area</vt:lpstr>
      <vt:lpstr>'SC5 OTHER'!Print_Area</vt:lpstr>
      <vt:lpstr>Totals!Print_Area</vt:lpstr>
      <vt:lpstr>'SC2 State Voted'!Print_Titles</vt:lpstr>
      <vt:lpstr>'SC3 Small Issue IDBs'!Print_Titles</vt:lpstr>
      <vt:lpstr>'SC4 MF- TDHCA'!Print_Titles</vt:lpstr>
    </vt:vector>
  </TitlesOfParts>
  <Company>Texas Bond Review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Texas Bond Review Board</dc:creator>
  <cp:lastModifiedBy>Jamie Backiel</cp:lastModifiedBy>
  <cp:lastPrinted>2022-04-18T21:23:50Z</cp:lastPrinted>
  <dcterms:created xsi:type="dcterms:W3CDTF">1998-10-28T19:13:07Z</dcterms:created>
  <dcterms:modified xsi:type="dcterms:W3CDTF">2025-12-15T20:48:17Z</dcterms:modified>
</cp:coreProperties>
</file>