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ate1904="1" codeName="ThisWorkbook" defaultThemeVersion="124226"/>
  <mc:AlternateContent xmlns:mc="http://schemas.openxmlformats.org/markup-compatibility/2006">
    <mc:Choice Requires="x15">
      <x15ac:absPath xmlns:x15ac="http://schemas.microsoft.com/office/spreadsheetml/2010/11/ac" url="https://api.box.com/wopi/files/2153033821331/WOPIServiceId_TP_BOX_2/WOPIUserId_-/"/>
    </mc:Choice>
  </mc:AlternateContent>
  <xr:revisionPtr revIDLastSave="9734" documentId="13_ncr:1_{8C7A796B-1059-4489-A811-88376F7C7A67}" xr6:coauthVersionLast="47" xr6:coauthVersionMax="47" xr10:uidLastSave="{C5542571-BE5B-44EA-BA76-A06EF7077AF5}"/>
  <bookViews>
    <workbookView xWindow="28680" yWindow="-11055" windowWidth="29040" windowHeight="15720" tabRatio="914" xr2:uid="{00000000-000D-0000-FFFF-FFFF00000000}"/>
  </bookViews>
  <sheets>
    <sheet name="Totals" sheetId="5" r:id="rId1"/>
    <sheet name="2026 CF" sheetId="107" r:id="rId2"/>
    <sheet name="Aug 15" sheetId="103" state="hidden" r:id="rId3"/>
    <sheet name="SC1 MRB" sheetId="14" r:id="rId4"/>
    <sheet name="SC2 State Voted" sheetId="4" r:id="rId5"/>
    <sheet name="SC3 Small Issue IDBs" sheetId="6" r:id="rId6"/>
    <sheet name="SC4 TSAHC" sheetId="30" r:id="rId7"/>
    <sheet name="SC4 MF- TDHCA" sheetId="7" r:id="rId8"/>
    <sheet name="SC4 MF- Local Collapse" sheetId="86" r:id="rId9"/>
    <sheet name="REGION 1" sheetId="74" r:id="rId10"/>
    <sheet name="REGION 2" sheetId="73" r:id="rId11"/>
    <sheet name="REGION 3" sheetId="12" r:id="rId12"/>
    <sheet name="REGION 4" sheetId="75" r:id="rId13"/>
    <sheet name="REGION 5" sheetId="44" r:id="rId14"/>
    <sheet name="REGION 6" sheetId="18" r:id="rId15"/>
    <sheet name="REGION 7" sheetId="19" r:id="rId16"/>
    <sheet name="REGION 8" sheetId="78" r:id="rId17"/>
    <sheet name="REGION 9" sheetId="21" r:id="rId18"/>
    <sheet name="REGION 10" sheetId="22" r:id="rId19"/>
    <sheet name="REGION 11" sheetId="77" r:id="rId20"/>
    <sheet name="REGION 12" sheetId="76" r:id="rId21"/>
    <sheet name="REGION 13" sheetId="27" r:id="rId22"/>
    <sheet name="SC5 OTHER" sheetId="24" r:id="rId23"/>
    <sheet name="2023 CF" sheetId="105" r:id="rId24"/>
    <sheet name="2024 CF" sheetId="104" r:id="rId25"/>
    <sheet name="2025 CF" sheetId="106" r:id="rId26"/>
    <sheet name="Bond Buyer" sheetId="93" r:id="rId27"/>
  </sheets>
  <definedNames>
    <definedName name="_xlnm._FilterDatabase" localSheetId="2" hidden="1">'Aug 15'!$A$6:$T$6</definedName>
    <definedName name="_xlnm._FilterDatabase" localSheetId="8" hidden="1">'SC4 MF- Local Collapse'!$A$6:$S$6</definedName>
    <definedName name="_xlnm._FilterDatabase" localSheetId="7" hidden="1">'SC4 MF- TDHCA'!$A$6:$S$6</definedName>
    <definedName name="_xlnm._FilterDatabase" localSheetId="22" hidden="1">'SC5 OTHER'!$A$6:$S$39</definedName>
    <definedName name="_Hlk75159162" localSheetId="14">'REGION 6'!$E$7</definedName>
    <definedName name="_xlnm.Print_Area" localSheetId="9">'REGION 1'!$A$1:$P$14</definedName>
    <definedName name="_xlnm.Print_Area" localSheetId="10">'REGION 2'!$A$1:$P$14</definedName>
    <definedName name="_xlnm.Print_Area" localSheetId="11">'REGION 3'!$A$1:$P$28</definedName>
    <definedName name="_xlnm.Print_Area" localSheetId="14">'REGION 6'!$A$1:$P$19</definedName>
    <definedName name="_xlnm.Print_Area" localSheetId="3">'SC1 MRB'!$A$1:$R$29</definedName>
    <definedName name="_xlnm.Print_Area" localSheetId="4">'SC2 State Voted'!$A$1:$P$25</definedName>
    <definedName name="_xlnm.Print_Area" localSheetId="5">'SC3 Small Issue IDBs'!$A$1:$P$28</definedName>
    <definedName name="_xlnm.Print_Area" localSheetId="7">'SC4 MF- TDHCA'!$A$1:$P$18</definedName>
    <definedName name="_xlnm.Print_Area" localSheetId="22">'SC5 OTHER'!$A$1:$P$57</definedName>
    <definedName name="_xlnm.Print_Area" localSheetId="0">Totals!$A$1:$I$30</definedName>
    <definedName name="_xlnm.Print_Titles" localSheetId="4">'SC2 State Voted'!$1:$7</definedName>
    <definedName name="_xlnm.Print_Titles" localSheetId="5">'SC3 Small Issue IDBs'!$1:$6</definedName>
    <definedName name="_xlnm.Print_Titles" localSheetId="7">'SC4 MF- TDHCA'!$1:$6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8" i="24" l="1"/>
  <c r="M9" i="86"/>
  <c r="O9" i="86"/>
  <c r="L11" i="12"/>
  <c r="M49" i="24"/>
  <c r="K49" i="24"/>
  <c r="I49" i="24"/>
  <c r="M31" i="24"/>
  <c r="O31" i="24"/>
  <c r="M10" i="86"/>
  <c r="O10" i="86"/>
  <c r="M11" i="86" l="1"/>
  <c r="K48" i="24"/>
  <c r="M48" i="24"/>
  <c r="I48" i="24"/>
  <c r="I12" i="86"/>
  <c r="K12" i="86"/>
  <c r="M12" i="86"/>
  <c r="K11" i="86"/>
  <c r="I11" i="86"/>
  <c r="M8" i="86"/>
  <c r="K10" i="86"/>
  <c r="I10" i="86"/>
  <c r="K9" i="86"/>
  <c r="I9" i="86"/>
  <c r="K8" i="86"/>
  <c r="I8" i="86"/>
  <c r="O11" i="24"/>
  <c r="M11" i="24"/>
  <c r="K81" i="106"/>
  <c r="G22" i="7"/>
  <c r="O7" i="7"/>
  <c r="M7" i="7"/>
  <c r="O7" i="4"/>
  <c r="B12" i="93"/>
  <c r="T41" i="104"/>
  <c r="M25" i="24"/>
  <c r="M47" i="24"/>
  <c r="K47" i="24"/>
  <c r="I47" i="24"/>
  <c r="G61" i="24"/>
  <c r="G68" i="24" s="1"/>
  <c r="M9" i="24"/>
  <c r="M27" i="24"/>
  <c r="M13" i="18"/>
  <c r="M10" i="19"/>
  <c r="K10" i="19"/>
  <c r="I10" i="19"/>
  <c r="M12" i="18"/>
  <c r="G26" i="7"/>
  <c r="M16" i="12"/>
  <c r="M7" i="44"/>
  <c r="K7" i="44"/>
  <c r="I7" i="44"/>
  <c r="G19" i="44"/>
  <c r="K16" i="12"/>
  <c r="I16" i="12"/>
  <c r="G36" i="12"/>
  <c r="M11" i="18"/>
  <c r="M46" i="24"/>
  <c r="M45" i="24"/>
  <c r="K46" i="24" l="1"/>
  <c r="K45" i="24"/>
  <c r="I46" i="24"/>
  <c r="I45" i="24"/>
  <c r="M9" i="21"/>
  <c r="B9" i="93"/>
  <c r="G43" i="106"/>
  <c r="T33" i="104"/>
  <c r="L33" i="104"/>
  <c r="K9" i="21"/>
  <c r="L50" i="106"/>
  <c r="B15" i="93" s="1"/>
  <c r="M7" i="21"/>
  <c r="O7" i="21"/>
  <c r="M26" i="24" l="1"/>
  <c r="O11" i="7"/>
  <c r="N11" i="7"/>
  <c r="L11" i="7"/>
  <c r="I11" i="7"/>
  <c r="H11" i="7"/>
  <c r="M9" i="7"/>
  <c r="K9" i="7"/>
  <c r="I9" i="7"/>
  <c r="L55" i="104"/>
  <c r="H51" i="24"/>
  <c r="K44" i="24"/>
  <c r="M44" i="24"/>
  <c r="I44" i="24"/>
  <c r="K43" i="24"/>
  <c r="M43" i="24"/>
  <c r="I43" i="24"/>
  <c r="K42" i="24"/>
  <c r="M42" i="24"/>
  <c r="I42" i="24"/>
  <c r="M38" i="24"/>
  <c r="M39" i="24"/>
  <c r="K39" i="24"/>
  <c r="I39" i="24"/>
  <c r="K38" i="24"/>
  <c r="I38" i="24"/>
  <c r="M37" i="24"/>
  <c r="K37" i="24"/>
  <c r="I37" i="24"/>
  <c r="O37" i="24" s="1"/>
  <c r="K36" i="24"/>
  <c r="M36" i="24"/>
  <c r="I36" i="24"/>
  <c r="M35" i="24"/>
  <c r="K35" i="24"/>
  <c r="I35" i="24"/>
  <c r="M34" i="24"/>
  <c r="K34" i="24"/>
  <c r="I34" i="24"/>
  <c r="M12" i="12"/>
  <c r="M33" i="24"/>
  <c r="K33" i="24"/>
  <c r="I33" i="24"/>
  <c r="M32" i="24"/>
  <c r="K32" i="24"/>
  <c r="I32" i="24"/>
  <c r="K31" i="24"/>
  <c r="I31" i="24"/>
  <c r="M30" i="24"/>
  <c r="K30" i="24"/>
  <c r="I30" i="24"/>
  <c r="M28" i="24"/>
  <c r="K28" i="24"/>
  <c r="I28" i="24"/>
  <c r="K12" i="12"/>
  <c r="I12" i="12"/>
  <c r="B34" i="5"/>
  <c r="M11" i="12"/>
  <c r="M41" i="24" l="1"/>
  <c r="K41" i="24"/>
  <c r="I41" i="24"/>
  <c r="K27" i="24"/>
  <c r="I27" i="24"/>
  <c r="O27" i="24" s="1"/>
  <c r="K26" i="24"/>
  <c r="I26" i="24"/>
  <c r="O26" i="24" s="1"/>
  <c r="K25" i="24"/>
  <c r="I25" i="24"/>
  <c r="O25" i="24" s="1"/>
  <c r="M10" i="18"/>
  <c r="K10" i="18"/>
  <c r="I10" i="18"/>
  <c r="K11" i="12"/>
  <c r="I11" i="12"/>
  <c r="M21" i="24"/>
  <c r="K21" i="24"/>
  <c r="I21" i="24"/>
  <c r="M20" i="24"/>
  <c r="K20" i="24"/>
  <c r="I20" i="24"/>
  <c r="M18" i="24"/>
  <c r="K18" i="24"/>
  <c r="I18" i="24"/>
  <c r="M17" i="24"/>
  <c r="K17" i="24"/>
  <c r="I17" i="24"/>
  <c r="M16" i="24"/>
  <c r="K16" i="24"/>
  <c r="I16" i="24"/>
  <c r="M10" i="12"/>
  <c r="K10" i="12"/>
  <c r="I10" i="12"/>
  <c r="M7" i="12"/>
  <c r="M15" i="24"/>
  <c r="K15" i="24"/>
  <c r="I15" i="24"/>
  <c r="M10" i="24"/>
  <c r="K10" i="24"/>
  <c r="I10" i="24"/>
  <c r="K13" i="18"/>
  <c r="I13" i="18"/>
  <c r="O13" i="18" s="1"/>
  <c r="K12" i="18"/>
  <c r="K11" i="18"/>
  <c r="I12" i="18"/>
  <c r="O12" i="18" s="1"/>
  <c r="I11" i="18"/>
  <c r="O11" i="18" s="1"/>
  <c r="G22" i="18"/>
  <c r="M7" i="18"/>
  <c r="K7" i="18"/>
  <c r="I7" i="18"/>
  <c r="M8" i="7"/>
  <c r="K8" i="7"/>
  <c r="I8" i="7"/>
  <c r="M7" i="77" l="1"/>
  <c r="K7" i="77"/>
  <c r="I7" i="77"/>
  <c r="G17" i="77"/>
  <c r="K7" i="12"/>
  <c r="I7" i="12"/>
  <c r="K11" i="24"/>
  <c r="I11" i="24"/>
  <c r="K9" i="24"/>
  <c r="I9" i="24"/>
  <c r="O9" i="24" s="1"/>
  <c r="M7" i="24" l="1"/>
  <c r="K7" i="24"/>
  <c r="I7" i="24"/>
  <c r="O7" i="24" s="1"/>
  <c r="M8" i="21"/>
  <c r="K8" i="21"/>
  <c r="K7" i="21"/>
  <c r="I8" i="21"/>
  <c r="I7" i="21"/>
  <c r="M7" i="4"/>
  <c r="K7" i="4"/>
  <c r="I7" i="4"/>
  <c r="I8" i="5" l="1"/>
  <c r="G8" i="5"/>
  <c r="F8" i="5"/>
  <c r="E1" i="74"/>
  <c r="M2" i="14"/>
  <c r="B8" i="5"/>
  <c r="M13" i="12" l="1"/>
  <c r="K13" i="12"/>
  <c r="I13" i="12"/>
  <c r="K7" i="7"/>
  <c r="I7" i="7"/>
  <c r="M40" i="24"/>
  <c r="K40" i="24"/>
  <c r="I40" i="24"/>
  <c r="J9" i="106" l="1"/>
  <c r="T9" i="106" s="1"/>
  <c r="J8" i="106"/>
  <c r="T8" i="106" s="1"/>
  <c r="J65" i="106"/>
  <c r="M7" i="30"/>
  <c r="G21" i="19"/>
  <c r="L57" i="104"/>
  <c r="M9" i="19"/>
  <c r="K9" i="19"/>
  <c r="K7" i="30"/>
  <c r="I7" i="30"/>
  <c r="J70" i="106"/>
  <c r="T14" i="106" l="1"/>
  <c r="G25" i="5"/>
  <c r="C25" i="5"/>
  <c r="T40" i="107" l="1"/>
  <c r="M40" i="107"/>
  <c r="L40" i="107"/>
  <c r="J40" i="107"/>
  <c r="T36" i="107"/>
  <c r="M36" i="107"/>
  <c r="L36" i="107"/>
  <c r="J36" i="107"/>
  <c r="T32" i="107"/>
  <c r="M32" i="107"/>
  <c r="L32" i="107"/>
  <c r="J32" i="107"/>
  <c r="M11" i="107"/>
  <c r="L11" i="107"/>
  <c r="J11" i="107"/>
  <c r="G11" i="107"/>
  <c r="F11" i="107"/>
  <c r="M43" i="107" l="1"/>
  <c r="J43" i="107"/>
  <c r="T43" i="107"/>
  <c r="B4" i="93" l="1"/>
  <c r="J70" i="104"/>
  <c r="L23" i="105"/>
  <c r="B3" i="93"/>
  <c r="B5" i="93" l="1"/>
  <c r="T50" i="104"/>
  <c r="M52" i="106" l="1"/>
  <c r="J87" i="106"/>
  <c r="M82" i="106"/>
  <c r="T52" i="106" l="1"/>
  <c r="M50" i="106"/>
  <c r="T50" i="106" s="1"/>
  <c r="M57" i="106"/>
  <c r="T57" i="106" s="1"/>
  <c r="M58" i="106"/>
  <c r="T58" i="106" s="1"/>
  <c r="M81" i="106"/>
  <c r="M79" i="106" l="1"/>
  <c r="T79" i="106" s="1"/>
  <c r="M60" i="106"/>
  <c r="T60" i="106" s="1"/>
  <c r="M51" i="106"/>
  <c r="T51" i="106" s="1"/>
  <c r="L43" i="106"/>
  <c r="J43" i="106"/>
  <c r="M39" i="106"/>
  <c r="M40" i="106"/>
  <c r="M37" i="106"/>
  <c r="T37" i="106" s="1"/>
  <c r="M35" i="106"/>
  <c r="T35" i="106" s="1"/>
  <c r="M31" i="106"/>
  <c r="T31" i="106" s="1"/>
  <c r="M32" i="106"/>
  <c r="T32" i="106" s="1"/>
  <c r="M33" i="106"/>
  <c r="T33" i="106" s="1"/>
  <c r="M22" i="106"/>
  <c r="T22" i="106" s="1"/>
  <c r="M23" i="106"/>
  <c r="T23" i="106" s="1"/>
  <c r="M24" i="106"/>
  <c r="T24" i="106" s="1"/>
  <c r="M25" i="106"/>
  <c r="T25" i="106" s="1"/>
  <c r="M26" i="106"/>
  <c r="T26" i="106" s="1"/>
  <c r="M27" i="106"/>
  <c r="T27" i="106" s="1"/>
  <c r="M28" i="106"/>
  <c r="T28" i="106" s="1"/>
  <c r="M29" i="106"/>
  <c r="T29" i="106" s="1"/>
  <c r="M48" i="106"/>
  <c r="T48" i="106" s="1"/>
  <c r="M72" i="106"/>
  <c r="T72" i="106" s="1"/>
  <c r="M73" i="106"/>
  <c r="T73" i="106" s="1"/>
  <c r="M71" i="106"/>
  <c r="T71" i="106" s="1"/>
  <c r="M70" i="106"/>
  <c r="T70" i="106" s="1"/>
  <c r="M69" i="106"/>
  <c r="T69" i="106" s="1"/>
  <c r="M68" i="106"/>
  <c r="T68" i="106" s="1"/>
  <c r="M67" i="106"/>
  <c r="T67" i="106" s="1"/>
  <c r="M66" i="106"/>
  <c r="M61" i="106"/>
  <c r="M83" i="106"/>
  <c r="M84" i="106"/>
  <c r="L87" i="106"/>
  <c r="M85" i="106"/>
  <c r="T66" i="106" l="1"/>
  <c r="G27" i="5"/>
  <c r="M77" i="106"/>
  <c r="T77" i="106" s="1"/>
  <c r="M49" i="106"/>
  <c r="M78" i="106"/>
  <c r="M54" i="106"/>
  <c r="T54" i="106" s="1"/>
  <c r="M80" i="106"/>
  <c r="M46" i="106"/>
  <c r="M75" i="106"/>
  <c r="T75" i="106" s="1"/>
  <c r="M74" i="106"/>
  <c r="T74" i="106" s="1"/>
  <c r="M53" i="106"/>
  <c r="T53" i="106" s="1"/>
  <c r="M34" i="106"/>
  <c r="T78" i="106" l="1"/>
  <c r="T49" i="106"/>
  <c r="T46" i="106"/>
  <c r="T80" i="106"/>
  <c r="M64" i="106"/>
  <c r="T64" i="106" s="1"/>
  <c r="M55" i="106"/>
  <c r="M62" i="106"/>
  <c r="T62" i="106" s="1"/>
  <c r="M41" i="106"/>
  <c r="T41" i="106" s="1"/>
  <c r="M36" i="106"/>
  <c r="T36" i="106" s="1"/>
  <c r="M30" i="106"/>
  <c r="M47" i="106"/>
  <c r="M59" i="106"/>
  <c r="T59" i="106" s="1"/>
  <c r="M56" i="106"/>
  <c r="T56" i="106" s="1"/>
  <c r="T55" i="106" l="1"/>
  <c r="F27" i="5"/>
  <c r="T30" i="106"/>
  <c r="T47" i="106"/>
  <c r="F11" i="106" l="1"/>
  <c r="M65" i="106"/>
  <c r="M38" i="106"/>
  <c r="M43" i="106" s="1"/>
  <c r="C27" i="5" s="1"/>
  <c r="M63" i="106"/>
  <c r="T65" i="106" l="1"/>
  <c r="I27" i="5"/>
  <c r="T63" i="106"/>
  <c r="T38" i="106"/>
  <c r="T43" i="106" s="1"/>
  <c r="M76" i="106" l="1"/>
  <c r="G28" i="103"/>
  <c r="L58" i="104"/>
  <c r="M87" i="106" l="1"/>
  <c r="H27" i="5"/>
  <c r="T76" i="106"/>
  <c r="T87" i="106" s="1"/>
  <c r="T57" i="104"/>
  <c r="H13" i="103" l="1"/>
  <c r="K13" i="103" l="1"/>
  <c r="G24" i="86" l="1"/>
  <c r="G21" i="14" l="1"/>
  <c r="H14" i="86" l="1"/>
  <c r="I14" i="86" l="1"/>
  <c r="H16" i="86" s="1"/>
  <c r="M18" i="104" l="1"/>
  <c r="T18" i="104" s="1"/>
  <c r="M14" i="104"/>
  <c r="T14" i="104" s="1"/>
  <c r="M6" i="104"/>
  <c r="T6" i="104" s="1"/>
  <c r="K52" i="104" l="1"/>
  <c r="K53" i="104"/>
  <c r="I10" i="30"/>
  <c r="J20" i="104"/>
  <c r="M20" i="104" s="1"/>
  <c r="T20" i="104" s="1"/>
  <c r="H25" i="12"/>
  <c r="G19" i="104"/>
  <c r="J19" i="104" s="1"/>
  <c r="M19" i="104" s="1"/>
  <c r="T19" i="104" s="1"/>
  <c r="O51" i="24" l="1"/>
  <c r="G9" i="104"/>
  <c r="J9" i="104" s="1"/>
  <c r="M9" i="104" s="1"/>
  <c r="T9" i="104" s="1"/>
  <c r="G10" i="104"/>
  <c r="J10" i="104" s="1"/>
  <c r="M10" i="104" s="1"/>
  <c r="T10" i="104" s="1"/>
  <c r="G11" i="104"/>
  <c r="J11" i="104" s="1"/>
  <c r="M11" i="104" s="1"/>
  <c r="T11" i="104" s="1"/>
  <c r="G12" i="104"/>
  <c r="J12" i="104" s="1"/>
  <c r="M12" i="104" s="1"/>
  <c r="T12" i="104" s="1"/>
  <c r="G13" i="104"/>
  <c r="J13" i="104" s="1"/>
  <c r="M13" i="104" s="1"/>
  <c r="T13" i="104" s="1"/>
  <c r="G14" i="104"/>
  <c r="G17" i="104"/>
  <c r="J17" i="104" s="1"/>
  <c r="M17" i="104" s="1"/>
  <c r="T17" i="104" s="1"/>
  <c r="G18" i="104"/>
  <c r="T22" i="104" l="1"/>
  <c r="I51" i="24"/>
  <c r="K65" i="104" l="1"/>
  <c r="B35" i="5" l="1"/>
  <c r="L47" i="104"/>
  <c r="L62" i="104"/>
  <c r="L67" i="104"/>
  <c r="J67" i="104"/>
  <c r="M65" i="104"/>
  <c r="M67" i="104" s="1"/>
  <c r="I65" i="104"/>
  <c r="G65" i="104"/>
  <c r="M60" i="104"/>
  <c r="I60" i="104"/>
  <c r="M59" i="104"/>
  <c r="T59" i="104" s="1"/>
  <c r="I59" i="104"/>
  <c r="G59" i="104"/>
  <c r="M58" i="104"/>
  <c r="T58" i="104" s="1"/>
  <c r="I58" i="104"/>
  <c r="G58" i="104"/>
  <c r="M57" i="104"/>
  <c r="I57" i="104"/>
  <c r="G57" i="104"/>
  <c r="M56" i="104"/>
  <c r="I56" i="104"/>
  <c r="G56" i="104"/>
  <c r="M55" i="104"/>
  <c r="I55" i="104"/>
  <c r="M54" i="104"/>
  <c r="T54" i="104" s="1"/>
  <c r="I54" i="104"/>
  <c r="M53" i="104"/>
  <c r="T53" i="104" s="1"/>
  <c r="I53" i="104"/>
  <c r="G53" i="104"/>
  <c r="I52" i="104"/>
  <c r="G52" i="104"/>
  <c r="M52" i="104" s="1"/>
  <c r="M51" i="104"/>
  <c r="T51" i="104" s="1"/>
  <c r="I51" i="104"/>
  <c r="M50" i="104"/>
  <c r="I50" i="104"/>
  <c r="M45" i="104"/>
  <c r="T45" i="104" s="1"/>
  <c r="I45" i="104"/>
  <c r="G45" i="104"/>
  <c r="M44" i="104"/>
  <c r="T44" i="104" s="1"/>
  <c r="I44" i="104"/>
  <c r="G44" i="104"/>
  <c r="M43" i="104"/>
  <c r="T43" i="104" s="1"/>
  <c r="I43" i="104"/>
  <c r="G43" i="104"/>
  <c r="M42" i="104"/>
  <c r="T42" i="104" s="1"/>
  <c r="I42" i="104"/>
  <c r="G42" i="104"/>
  <c r="M41" i="104"/>
  <c r="I41" i="104"/>
  <c r="G41" i="104"/>
  <c r="I40" i="104"/>
  <c r="G40" i="104"/>
  <c r="J40" i="104" s="1"/>
  <c r="M39" i="104"/>
  <c r="T39" i="104" s="1"/>
  <c r="I39" i="104"/>
  <c r="G39" i="104"/>
  <c r="M38" i="104"/>
  <c r="T38" i="104" s="1"/>
  <c r="I38" i="104"/>
  <c r="G38" i="104"/>
  <c r="M37" i="104"/>
  <c r="T37" i="104" s="1"/>
  <c r="I37" i="104"/>
  <c r="G37" i="104"/>
  <c r="M36" i="104"/>
  <c r="T36" i="104" s="1"/>
  <c r="I36" i="104"/>
  <c r="G36" i="104"/>
  <c r="M35" i="104"/>
  <c r="T35" i="104" s="1"/>
  <c r="I35" i="104"/>
  <c r="G35" i="104"/>
  <c r="M34" i="104"/>
  <c r="T34" i="104" s="1"/>
  <c r="I34" i="104"/>
  <c r="G34" i="104"/>
  <c r="M33" i="104"/>
  <c r="I33" i="104"/>
  <c r="G33" i="104"/>
  <c r="M32" i="104"/>
  <c r="T32" i="104" s="1"/>
  <c r="I32" i="104"/>
  <c r="G32" i="104"/>
  <c r="M31" i="104"/>
  <c r="T31" i="104" s="1"/>
  <c r="I31" i="104"/>
  <c r="G31" i="104"/>
  <c r="M22" i="104"/>
  <c r="L22" i="104"/>
  <c r="J22" i="104"/>
  <c r="F22" i="104"/>
  <c r="J35" i="105"/>
  <c r="M33" i="105"/>
  <c r="H25" i="5" s="1"/>
  <c r="M32" i="105"/>
  <c r="T32" i="105" s="1"/>
  <c r="M31" i="105"/>
  <c r="T31" i="105" s="1"/>
  <c r="M30" i="105"/>
  <c r="M29" i="105"/>
  <c r="T29" i="105" s="1"/>
  <c r="M28" i="105"/>
  <c r="T28" i="105" s="1"/>
  <c r="J25" i="105"/>
  <c r="M23" i="105"/>
  <c r="L15" i="105"/>
  <c r="F15" i="105"/>
  <c r="M13" i="105"/>
  <c r="M12" i="105"/>
  <c r="G12" i="105"/>
  <c r="M11" i="105"/>
  <c r="T11" i="105" s="1"/>
  <c r="G11" i="105"/>
  <c r="G10" i="105"/>
  <c r="J10" i="105" s="1"/>
  <c r="M9" i="105"/>
  <c r="T9" i="105" s="1"/>
  <c r="G9" i="105"/>
  <c r="M6" i="105"/>
  <c r="T6" i="105" s="1"/>
  <c r="G6" i="105"/>
  <c r="H15" i="18"/>
  <c r="I26" i="5" l="1"/>
  <c r="G26" i="5"/>
  <c r="T55" i="104"/>
  <c r="H26" i="5"/>
  <c r="T56" i="104"/>
  <c r="T13" i="105"/>
  <c r="I25" i="5"/>
  <c r="B25" i="5" s="1"/>
  <c r="M40" i="104"/>
  <c r="T40" i="104" s="1"/>
  <c r="T47" i="104" s="1"/>
  <c r="J47" i="104"/>
  <c r="J62" i="104"/>
  <c r="T12" i="105"/>
  <c r="T65" i="104"/>
  <c r="T67" i="104" s="1"/>
  <c r="T33" i="105"/>
  <c r="T35" i="105" s="1"/>
  <c r="T52" i="104"/>
  <c r="L35" i="105"/>
  <c r="L25" i="105"/>
  <c r="G15" i="105"/>
  <c r="M10" i="105"/>
  <c r="J15" i="105"/>
  <c r="J38" i="105" s="1"/>
  <c r="E8" i="5"/>
  <c r="H8" i="5"/>
  <c r="E1" i="18" s="1"/>
  <c r="C8" i="5"/>
  <c r="H12" i="14"/>
  <c r="M47" i="104" l="1"/>
  <c r="T62" i="104"/>
  <c r="T70" i="104" s="1"/>
  <c r="M62" i="104"/>
  <c r="M70" i="104" s="1"/>
  <c r="T10" i="105"/>
  <c r="T15" i="105" s="1"/>
  <c r="M35" i="105"/>
  <c r="T25" i="105"/>
  <c r="M25" i="105"/>
  <c r="M15" i="105"/>
  <c r="M11" i="106"/>
  <c r="L11" i="106"/>
  <c r="J11" i="106"/>
  <c r="M90" i="106" s="1"/>
  <c r="B27" i="5" l="1"/>
  <c r="C26" i="5"/>
  <c r="B26" i="5"/>
  <c r="M38" i="105"/>
  <c r="B27" i="93" s="1"/>
  <c r="T38" i="105"/>
  <c r="O14" i="86" l="1"/>
  <c r="H18" i="86" s="1"/>
  <c r="N14" i="86"/>
  <c r="L14" i="86"/>
  <c r="H12" i="19"/>
  <c r="I25" i="12" l="1"/>
  <c r="E1" i="73" l="1"/>
  <c r="E1" i="44"/>
  <c r="Q12" i="14"/>
  <c r="E5" i="93" l="1"/>
  <c r="N51" i="24" l="1"/>
  <c r="L51" i="24"/>
  <c r="O10" i="22"/>
  <c r="N10" i="22"/>
  <c r="L10" i="22"/>
  <c r="I10" i="22"/>
  <c r="H10" i="22"/>
  <c r="H11" i="21"/>
  <c r="O12" i="19"/>
  <c r="N12" i="19"/>
  <c r="L12" i="19"/>
  <c r="I12" i="19"/>
  <c r="H10" i="75"/>
  <c r="O25" i="12"/>
  <c r="N25" i="12"/>
  <c r="L25" i="12"/>
  <c r="O10" i="73"/>
  <c r="N10" i="73"/>
  <c r="L10" i="73"/>
  <c r="I10" i="73"/>
  <c r="H10" i="73"/>
  <c r="O10" i="4"/>
  <c r="N10" i="4"/>
  <c r="L10" i="4"/>
  <c r="I10" i="4"/>
  <c r="H10" i="4"/>
  <c r="P12" i="14"/>
  <c r="N12" i="14"/>
  <c r="K12" i="14"/>
  <c r="J12" i="14"/>
  <c r="H10" i="30"/>
  <c r="P13" i="103" l="1"/>
  <c r="N13" i="103"/>
  <c r="J13" i="103" l="1"/>
  <c r="Q13" i="103"/>
  <c r="H15" i="103" l="1"/>
  <c r="G18" i="30" l="1"/>
  <c r="G18" i="78" l="1"/>
  <c r="G19" i="74"/>
  <c r="H10" i="74"/>
  <c r="G18" i="6"/>
  <c r="G18" i="4"/>
  <c r="G17" i="22" l="1"/>
  <c r="H12" i="22" l="1"/>
  <c r="H13" i="7" l="1"/>
  <c r="G18" i="21" l="1"/>
  <c r="O10" i="74" l="1"/>
  <c r="N10" i="74"/>
  <c r="L10" i="74"/>
  <c r="I10" i="74"/>
  <c r="H12" i="74" s="1"/>
  <c r="H27" i="12" l="1"/>
  <c r="E1" i="77"/>
  <c r="E1" i="12"/>
  <c r="H29" i="12" s="1"/>
  <c r="E1" i="19"/>
  <c r="E1" i="27"/>
  <c r="E1" i="75"/>
  <c r="E1" i="22"/>
  <c r="H14" i="22" s="1"/>
  <c r="E1" i="21"/>
  <c r="E1" i="76"/>
  <c r="E1" i="78"/>
  <c r="N10" i="30" l="1"/>
  <c r="J18" i="5" l="1"/>
  <c r="J16" i="5"/>
  <c r="J14" i="5"/>
  <c r="J10" i="5"/>
  <c r="L10" i="30" l="1"/>
  <c r="H12" i="30" l="1"/>
  <c r="J12" i="5"/>
  <c r="J20" i="5"/>
  <c r="H14" i="14" l="1"/>
  <c r="O10" i="44" l="1"/>
  <c r="N10" i="44"/>
  <c r="L10" i="44"/>
  <c r="O10" i="30"/>
  <c r="O10" i="27" l="1"/>
  <c r="N10" i="27"/>
  <c r="L10" i="27"/>
  <c r="I10" i="27"/>
  <c r="H10" i="27"/>
  <c r="O10" i="77"/>
  <c r="N10" i="77"/>
  <c r="L10" i="77"/>
  <c r="O10" i="78"/>
  <c r="N10" i="78"/>
  <c r="L10" i="78"/>
  <c r="I10" i="78"/>
  <c r="H10" i="78"/>
  <c r="H14" i="73"/>
  <c r="O10" i="75"/>
  <c r="N10" i="75"/>
  <c r="L10" i="75"/>
  <c r="I10" i="75"/>
  <c r="H14" i="78" l="1"/>
  <c r="H12" i="73"/>
  <c r="H14" i="27"/>
  <c r="H12" i="78"/>
  <c r="H14" i="75"/>
  <c r="I18" i="5" l="1"/>
  <c r="I10" i="77" l="1"/>
  <c r="H14" i="77" s="1"/>
  <c r="I15" i="18" l="1"/>
  <c r="I10" i="44"/>
  <c r="H14" i="44" s="1"/>
  <c r="H10" i="77" l="1"/>
  <c r="H10" i="44"/>
  <c r="H10" i="5" l="1"/>
  <c r="O10" i="76"/>
  <c r="N10" i="76"/>
  <c r="L10" i="76"/>
  <c r="I10" i="76"/>
  <c r="H10" i="76"/>
  <c r="N15" i="18"/>
  <c r="L15" i="18"/>
  <c r="I16" i="5"/>
  <c r="I14" i="5"/>
  <c r="H12" i="77"/>
  <c r="O11" i="21"/>
  <c r="I11" i="21"/>
  <c r="H12" i="5" s="1"/>
  <c r="L11" i="21"/>
  <c r="N11" i="21"/>
  <c r="G14" i="5"/>
  <c r="F10" i="5"/>
  <c r="F14" i="5"/>
  <c r="H10" i="6"/>
  <c r="E10" i="5" s="1"/>
  <c r="I10" i="6"/>
  <c r="L10" i="6"/>
  <c r="E14" i="5" s="1"/>
  <c r="N10" i="6"/>
  <c r="H12" i="4"/>
  <c r="D14" i="5"/>
  <c r="C10" i="5"/>
  <c r="C14" i="5"/>
  <c r="B5" i="5"/>
  <c r="O10" i="6"/>
  <c r="H15" i="21" l="1"/>
  <c r="H20" i="5"/>
  <c r="H16" i="5"/>
  <c r="H14" i="5"/>
  <c r="E18" i="5"/>
  <c r="H14" i="19"/>
  <c r="E12" i="5"/>
  <c r="E20" i="5" s="1"/>
  <c r="H14" i="76"/>
  <c r="D18" i="5"/>
  <c r="G16" i="5"/>
  <c r="F12" i="5"/>
  <c r="D10" i="5"/>
  <c r="G12" i="5"/>
  <c r="D12" i="5"/>
  <c r="F16" i="5"/>
  <c r="F18" i="5"/>
  <c r="C12" i="5"/>
  <c r="H12" i="27"/>
  <c r="H12" i="44"/>
  <c r="H12" i="76"/>
  <c r="G18" i="5"/>
  <c r="E16" i="5"/>
  <c r="H12" i="6"/>
  <c r="H12" i="75"/>
  <c r="C16" i="5"/>
  <c r="H13" i="21"/>
  <c r="H17" i="18"/>
  <c r="D16" i="5"/>
  <c r="O15" i="18"/>
  <c r="H19" i="18" s="1"/>
  <c r="E1" i="14"/>
  <c r="H16" i="14" s="1"/>
  <c r="G10" i="5"/>
  <c r="D8" i="5"/>
  <c r="N2" i="14" l="1"/>
  <c r="O2" i="14" s="1"/>
  <c r="C20" i="5"/>
  <c r="H18" i="5"/>
  <c r="M4" i="14"/>
  <c r="N4" i="14" s="1"/>
  <c r="O4" i="14" s="1"/>
  <c r="M3" i="14"/>
  <c r="N3" i="14" s="1"/>
  <c r="O3" i="14" s="1"/>
  <c r="B16" i="5"/>
  <c r="D20" i="5"/>
  <c r="F22" i="5"/>
  <c r="F29" i="5" s="1"/>
  <c r="E22" i="5"/>
  <c r="E29" i="5" s="1"/>
  <c r="D22" i="5"/>
  <c r="D29" i="5" s="1"/>
  <c r="F20" i="5"/>
  <c r="G20" i="5"/>
  <c r="E1" i="6"/>
  <c r="H14" i="6" s="1"/>
  <c r="C18" i="5"/>
  <c r="C22" i="5" s="1"/>
  <c r="E1" i="24"/>
  <c r="H55" i="24" s="1"/>
  <c r="E1" i="30"/>
  <c r="H14" i="30" s="1"/>
  <c r="E1" i="7"/>
  <c r="H15" i="7" s="1"/>
  <c r="E1" i="4"/>
  <c r="H14" i="4" s="1"/>
  <c r="H22" i="5" l="1"/>
  <c r="H29" i="5" s="1"/>
  <c r="C29" i="5"/>
  <c r="B18" i="5"/>
  <c r="G22" i="5" l="1"/>
  <c r="G29" i="5" s="1"/>
  <c r="B14" i="5" l="1"/>
  <c r="H14" i="74"/>
  <c r="I10" i="5" l="1"/>
  <c r="B10" i="5" s="1"/>
  <c r="H53" i="24" l="1"/>
  <c r="I12" i="5"/>
  <c r="B12" i="5" s="1"/>
  <c r="I22" i="5" l="1"/>
  <c r="I29" i="5" s="1"/>
  <c r="I20" i="5"/>
  <c r="B20" i="5" s="1"/>
  <c r="H16" i="19" l="1"/>
  <c r="E1" i="86" s="1"/>
  <c r="E1" i="103" l="1"/>
  <c r="H17" i="103" s="1"/>
  <c r="B22" i="5" l="1"/>
  <c r="B29" i="5" s="1"/>
  <c r="J8" i="5"/>
  <c r="J22" i="5" s="1"/>
  <c r="G22" i="104"/>
  <c r="B51" i="93" s="1"/>
  <c r="G11" i="106"/>
  <c r="F14" i="106" s="1"/>
  <c r="T90" i="106" l="1"/>
  <c r="J90" i="106"/>
  <c r="B52" i="93"/>
  <c r="B54" i="93" s="1"/>
</calcChain>
</file>

<file path=xl/sharedStrings.xml><?xml version="1.0" encoding="utf-8"?>
<sst xmlns="http://schemas.openxmlformats.org/spreadsheetml/2006/main" count="2456" uniqueCount="609">
  <si>
    <t xml:space="preserve">   STATE VOTED ISSUES</t>
  </si>
  <si>
    <t xml:space="preserve">    RESIDENTIAL RENTAL PROJECTS</t>
  </si>
  <si>
    <t xml:space="preserve">  </t>
  </si>
  <si>
    <t>IDBs</t>
  </si>
  <si>
    <t>CERTIFIED</t>
  </si>
  <si>
    <t>UPDATE</t>
  </si>
  <si>
    <t>TOTALS</t>
  </si>
  <si>
    <t xml:space="preserve"> </t>
  </si>
  <si>
    <t xml:space="preserve">RESERVED </t>
  </si>
  <si>
    <t>DATE</t>
  </si>
  <si>
    <t>Available</t>
  </si>
  <si>
    <t>REGION 7</t>
  </si>
  <si>
    <t>SUBCEILING #4</t>
  </si>
  <si>
    <t>TDHCA - MF</t>
  </si>
  <si>
    <t xml:space="preserve">RESERVATION </t>
  </si>
  <si>
    <t>TOTAL</t>
  </si>
  <si>
    <t>All Other</t>
  </si>
  <si>
    <t>LOT #</t>
  </si>
  <si>
    <t>DEADLINE</t>
  </si>
  <si>
    <t xml:space="preserve">TOTALS </t>
  </si>
  <si>
    <t>Local HFC's MF</t>
  </si>
  <si>
    <t>SUBCEILING #1</t>
  </si>
  <si>
    <t xml:space="preserve">RELEASE/ </t>
  </si>
  <si>
    <t>REQUESTED</t>
  </si>
  <si>
    <t xml:space="preserve">SUBCEILING #3 </t>
  </si>
  <si>
    <t>State Voted</t>
  </si>
  <si>
    <t>REGION 9</t>
  </si>
  <si>
    <t>ALLOCATION</t>
  </si>
  <si>
    <t>RELEASE/</t>
  </si>
  <si>
    <t>UNSATISFIED REQUESTS</t>
  </si>
  <si>
    <t xml:space="preserve">   ALL OTHER ISSUES</t>
  </si>
  <si>
    <t>ISSUER</t>
  </si>
  <si>
    <t>DOCKET#</t>
  </si>
  <si>
    <t>MRB's</t>
  </si>
  <si>
    <t>35-DAY</t>
  </si>
  <si>
    <t xml:space="preserve">    MORTGAGE REVENUE BONDS</t>
  </si>
  <si>
    <t xml:space="preserve"> QUALIFIED SMALL ISSUE </t>
  </si>
  <si>
    <t>STATUS</t>
  </si>
  <si>
    <t>UTILIZATION</t>
  </si>
  <si>
    <t>REGION 6</t>
  </si>
  <si>
    <t xml:space="preserve">    REGION 3</t>
  </si>
  <si>
    <t>REGION 10</t>
  </si>
  <si>
    <t>AMOUNT</t>
  </si>
  <si>
    <t>In-Line</t>
  </si>
  <si>
    <t>RELEASED</t>
  </si>
  <si>
    <t>LOCATION</t>
  </si>
  <si>
    <t>PERCENTAGE</t>
  </si>
  <si>
    <t xml:space="preserve">SUBCEILING #2 </t>
  </si>
  <si>
    <t>or</t>
  </si>
  <si>
    <t>PROJECT</t>
  </si>
  <si>
    <t>RESERVATIONS RELEASED</t>
  </si>
  <si>
    <t>ELIGIBLE</t>
  </si>
  <si>
    <t>TSAHC - MF</t>
  </si>
  <si>
    <t xml:space="preserve">   </t>
  </si>
  <si>
    <t xml:space="preserve"> RESERVED  </t>
  </si>
  <si>
    <t xml:space="preserve"> AMOUNT </t>
  </si>
  <si>
    <t>SC 1</t>
  </si>
  <si>
    <t>SC 2</t>
  </si>
  <si>
    <t>SC 3</t>
  </si>
  <si>
    <t>SC 4</t>
  </si>
  <si>
    <t>SC 5</t>
  </si>
  <si>
    <t>SC 6</t>
  </si>
  <si>
    <t>REGION 13</t>
  </si>
  <si>
    <t>CERTIFIED TO DATE</t>
  </si>
  <si>
    <t>RESERVATIONS TO DATE</t>
  </si>
  <si>
    <t>ALLOCATIONS TO DATE</t>
  </si>
  <si>
    <t>REGION 5</t>
  </si>
  <si>
    <t>ELIGIBLE REQUESTS TO DATE</t>
  </si>
  <si>
    <t>TDHCA - 33.34%</t>
  </si>
  <si>
    <t xml:space="preserve">    REGION 1</t>
  </si>
  <si>
    <t xml:space="preserve">    REGION 2</t>
  </si>
  <si>
    <t>REGION 4</t>
  </si>
  <si>
    <t>REGION 12</t>
  </si>
  <si>
    <t>REGION 11</t>
  </si>
  <si>
    <t>REGION 8</t>
  </si>
  <si>
    <t xml:space="preserve">Available </t>
  </si>
  <si>
    <t>TDHCA</t>
  </si>
  <si>
    <t>CF</t>
  </si>
  <si>
    <t>Dallas</t>
  </si>
  <si>
    <t>Austin</t>
  </si>
  <si>
    <t>Houston</t>
  </si>
  <si>
    <t>San Antonio</t>
  </si>
  <si>
    <t>El Paso</t>
  </si>
  <si>
    <t>Mission EDC</t>
  </si>
  <si>
    <t xml:space="preserve"> REQUESTED </t>
  </si>
  <si>
    <t xml:space="preserve"> DESIGNATED </t>
  </si>
  <si>
    <t>FEE</t>
  </si>
  <si>
    <t xml:space="preserve"> CERTIFIED </t>
  </si>
  <si>
    <t xml:space="preserve"> CLOSED </t>
  </si>
  <si>
    <t xml:space="preserve">CARRYFORWARD </t>
  </si>
  <si>
    <t>REMAINING</t>
  </si>
  <si>
    <t>Priority 6</t>
  </si>
  <si>
    <t xml:space="preserve"> ALLOCATION </t>
  </si>
  <si>
    <t>(NET)</t>
  </si>
  <si>
    <t>Residential Rental</t>
  </si>
  <si>
    <t>Fort Worth</t>
  </si>
  <si>
    <t>CONFIRMATION</t>
  </si>
  <si>
    <t>Tarrant County HFC</t>
  </si>
  <si>
    <t>Travis County HFC</t>
  </si>
  <si>
    <t>Submission</t>
  </si>
  <si>
    <t>Current Year Cap</t>
  </si>
  <si>
    <t>Carryforward to CY</t>
  </si>
  <si>
    <t>Total Capacity</t>
  </si>
  <si>
    <t>Mortgage Revenue Bonds</t>
  </si>
  <si>
    <t>CF used</t>
  </si>
  <si>
    <t>HERA CF Used</t>
  </si>
  <si>
    <t>Mortgage Credit Certificates</t>
  </si>
  <si>
    <t>Multifamily Housing</t>
  </si>
  <si>
    <t>Housing Not Broken out</t>
  </si>
  <si>
    <t>Exempt Facilities</t>
  </si>
  <si>
    <t>Student Loans</t>
  </si>
  <si>
    <t>State Voted Issues</t>
  </si>
  <si>
    <t>Current Year Abandonded</t>
  </si>
  <si>
    <t>Carryforward Expiring</t>
  </si>
  <si>
    <t>2002 CF</t>
  </si>
  <si>
    <t>2003 CF</t>
  </si>
  <si>
    <t>2004 CF</t>
  </si>
  <si>
    <t>2005 CF</t>
  </si>
  <si>
    <t>2006 CF</t>
  </si>
  <si>
    <t>2007 CF</t>
  </si>
  <si>
    <t>2008 CF</t>
  </si>
  <si>
    <t>2009 CF</t>
  </si>
  <si>
    <t>HERA Carryforward</t>
  </si>
  <si>
    <t>2010 CF</t>
  </si>
  <si>
    <t>2011 CF</t>
  </si>
  <si>
    <t>2012 CF</t>
  </si>
  <si>
    <t>2013 CF</t>
  </si>
  <si>
    <t>2014 CF</t>
  </si>
  <si>
    <t>CF to next year</t>
  </si>
  <si>
    <t>2002*</t>
  </si>
  <si>
    <t>2001*</t>
  </si>
  <si>
    <t xml:space="preserve"> $- </t>
  </si>
  <si>
    <t>Allocation</t>
  </si>
  <si>
    <t>CF Allocated</t>
  </si>
  <si>
    <t>HERA CF Allocated</t>
  </si>
  <si>
    <t>CF Available</t>
  </si>
  <si>
    <t>Total Allocated</t>
  </si>
  <si>
    <t>Current Year Volume Cap Check</t>
  </si>
  <si>
    <t>Carryforward Check</t>
  </si>
  <si>
    <t>CF ABANDONED</t>
  </si>
  <si>
    <t>Current Year</t>
  </si>
  <si>
    <t>Capital Area HFC</t>
  </si>
  <si>
    <t>San Marcos</t>
  </si>
  <si>
    <t>Austin HFC</t>
  </si>
  <si>
    <t>Alamito PFC</t>
  </si>
  <si>
    <t>2015 CF</t>
  </si>
  <si>
    <t>N/A</t>
  </si>
  <si>
    <t>2016 CF</t>
  </si>
  <si>
    <t>Priority 5</t>
  </si>
  <si>
    <t>TSAHC</t>
  </si>
  <si>
    <t>2017 CF</t>
  </si>
  <si>
    <t>Statewide</t>
  </si>
  <si>
    <t>Las Varas PFC</t>
  </si>
  <si>
    <t>Amount Available for Traditional Carryforward</t>
  </si>
  <si>
    <t xml:space="preserve">210-DAY </t>
  </si>
  <si>
    <t xml:space="preserve">150-DAY </t>
  </si>
  <si>
    <t>180-DAY</t>
  </si>
  <si>
    <t>Texas Home Collaborative</t>
  </si>
  <si>
    <t>2019 CF</t>
  </si>
  <si>
    <t>March 1 Local Collapse</t>
  </si>
  <si>
    <t>Victory Street PFC</t>
  </si>
  <si>
    <t>2018 CF</t>
  </si>
  <si>
    <t>Pflugerville</t>
  </si>
  <si>
    <t>Arlington HFC</t>
  </si>
  <si>
    <t>Arlington</t>
  </si>
  <si>
    <t>Crystal Bend Apts</t>
  </si>
  <si>
    <t>Rowlett</t>
  </si>
  <si>
    <t>McKinney HFC</t>
  </si>
  <si>
    <t>McKinney</t>
  </si>
  <si>
    <t>2020 CF</t>
  </si>
  <si>
    <t>PRIORITY</t>
  </si>
  <si>
    <t>MF</t>
  </si>
  <si>
    <t>APP #</t>
  </si>
  <si>
    <t>CF Abandoned (2017)</t>
  </si>
  <si>
    <t>CF used (17/18/19)</t>
  </si>
  <si>
    <t>CF Available (18/19)</t>
  </si>
  <si>
    <t>2020NTCF</t>
  </si>
  <si>
    <t>2020TCF</t>
  </si>
  <si>
    <t>2020 Total CF</t>
  </si>
  <si>
    <t>2020 Allocation</t>
  </si>
  <si>
    <t>All 2020 Allocation</t>
  </si>
  <si>
    <t>All Available in 2020</t>
  </si>
  <si>
    <t>Collapse</t>
  </si>
  <si>
    <t>CLOSING</t>
  </si>
  <si>
    <t>Amount Available</t>
  </si>
  <si>
    <t>August 15th</t>
  </si>
  <si>
    <t>Region 1</t>
  </si>
  <si>
    <t>Region 2</t>
  </si>
  <si>
    <t>Region 3</t>
  </si>
  <si>
    <t>Region 4</t>
  </si>
  <si>
    <t>Region 5</t>
  </si>
  <si>
    <t>Region 6</t>
  </si>
  <si>
    <t>Region 7</t>
  </si>
  <si>
    <t>Region 8</t>
  </si>
  <si>
    <t>Region 9</t>
  </si>
  <si>
    <t>Region 10</t>
  </si>
  <si>
    <t>Region 11</t>
  </si>
  <si>
    <t>Region 12</t>
  </si>
  <si>
    <t>Region 13</t>
  </si>
  <si>
    <t>Region</t>
  </si>
  <si>
    <t>Number</t>
  </si>
  <si>
    <t>Percentage based on</t>
  </si>
  <si>
    <t>2020 Population</t>
  </si>
  <si>
    <t>Reordered</t>
  </si>
  <si>
    <t xml:space="preserve"> LOT#</t>
  </si>
  <si>
    <t>Shifted</t>
  </si>
  <si>
    <t>1A</t>
  </si>
  <si>
    <t>1B</t>
  </si>
  <si>
    <t>Lubbock</t>
  </si>
  <si>
    <t>Mesquite</t>
  </si>
  <si>
    <t>Pasadena</t>
  </si>
  <si>
    <t>Houston HFC</t>
  </si>
  <si>
    <t>Strategic HFC of Travis County</t>
  </si>
  <si>
    <t>Brownsville</t>
  </si>
  <si>
    <t>San Antonio Housing Trust PFC</t>
  </si>
  <si>
    <t>Freeport</t>
  </si>
  <si>
    <t>Shamrock EDC</t>
  </si>
  <si>
    <t>Ecolomondo Project</t>
  </si>
  <si>
    <t>Shamrock</t>
  </si>
  <si>
    <t>Humble</t>
  </si>
  <si>
    <t>Waco</t>
  </si>
  <si>
    <t>Trinity River PFC</t>
  </si>
  <si>
    <t>Ft. Worth</t>
  </si>
  <si>
    <t>Lakeside Place PFC</t>
  </si>
  <si>
    <t>Excluding Amts Reserved</t>
  </si>
  <si>
    <t>2021 CF</t>
  </si>
  <si>
    <t>2/1D</t>
  </si>
  <si>
    <t>3/1D</t>
  </si>
  <si>
    <t>Harris County</t>
  </si>
  <si>
    <t>HFCs - 56.66%</t>
  </si>
  <si>
    <t>Set-Aside Amount</t>
  </si>
  <si>
    <t>Set-Aside until 8/7</t>
  </si>
  <si>
    <t>Fort Bend County</t>
  </si>
  <si>
    <t>QMBs/MCCs</t>
  </si>
  <si>
    <t>MCCs</t>
  </si>
  <si>
    <t>Remaining post-8/7</t>
  </si>
  <si>
    <t>Remaining pre-8/7</t>
  </si>
  <si>
    <t># OF</t>
  </si>
  <si>
    <t>UNITS</t>
  </si>
  <si>
    <t>APP</t>
  </si>
  <si>
    <t>SUBMISSION</t>
  </si>
  <si>
    <t>Amount Available for Unencumbered Requests</t>
  </si>
  <si>
    <t>ASSIGNED</t>
  </si>
  <si>
    <t>Priority 3</t>
  </si>
  <si>
    <t>2023 TRADITIONAL CARRYFORWARD</t>
  </si>
  <si>
    <t>2023 NON TRADITIONAL CARRYFORWARD</t>
  </si>
  <si>
    <t>2022 CF</t>
  </si>
  <si>
    <t>2/Non-1D</t>
  </si>
  <si>
    <t>Lubbock HFC</t>
  </si>
  <si>
    <t>Dallas (City of) HFC</t>
  </si>
  <si>
    <t>The Mesquite HFC</t>
  </si>
  <si>
    <t>The Southeast Texas HFC</t>
  </si>
  <si>
    <t>Harris County HFC</t>
  </si>
  <si>
    <t>Northside Village</t>
  </si>
  <si>
    <t>Georgetown</t>
  </si>
  <si>
    <t>3/Non-1D</t>
  </si>
  <si>
    <t>Midland County PFC</t>
  </si>
  <si>
    <t>Midland</t>
  </si>
  <si>
    <t>Taylor</t>
  </si>
  <si>
    <t>Austin Housing PFC</t>
  </si>
  <si>
    <t>Austin Affordable PFC, Inc</t>
  </si>
  <si>
    <t>Housing Options, Inc</t>
  </si>
  <si>
    <t>1.7% of the State Ceiling Limit</t>
  </si>
  <si>
    <t>3.4% of the State Ceiling Limit</t>
  </si>
  <si>
    <t>TENTATIVE</t>
  </si>
  <si>
    <t>TAX CREDIT EMAIL NOTIFICATION</t>
  </si>
  <si>
    <t>23CF-002</t>
  </si>
  <si>
    <t>23CF-005</t>
  </si>
  <si>
    <t>23CF-007</t>
  </si>
  <si>
    <t>Manor</t>
  </si>
  <si>
    <t>Airport Commerce Apts</t>
  </si>
  <si>
    <t>Aspire/Big Austin</t>
  </si>
  <si>
    <t>Shelby Trace Apts</t>
  </si>
  <si>
    <t>Brownsville HFC (PFC formed under Ch 303 LGC)</t>
  </si>
  <si>
    <t xml:space="preserve">TSAHC - 10% </t>
  </si>
  <si>
    <t>Tarrant County</t>
  </si>
  <si>
    <t>SF MRBs/MCCs</t>
  </si>
  <si>
    <t>Grand Prairie</t>
  </si>
  <si>
    <t>Travis County</t>
  </si>
  <si>
    <t>TDHCA (Assigned by Arlington HFC)</t>
  </si>
  <si>
    <t>TDHCA (Assigned by Travis County HFC)</t>
  </si>
  <si>
    <t>TDHCA (Assigned by Tarrant County HFC)</t>
  </si>
  <si>
    <t>TDHCA (Assigned by McKinney HFC)</t>
  </si>
  <si>
    <t>TDHCA (Assigned by Harris County HFC)</t>
  </si>
  <si>
    <t>TDHCA (Assigned by Fort Bend County HFC)</t>
  </si>
  <si>
    <t>TDHCA (Assigned by The Cameron County HFC)</t>
  </si>
  <si>
    <t>HHA Fountainview PFC</t>
  </si>
  <si>
    <t>TDHCA (Assigned by Grand Prairie HFC)</t>
  </si>
  <si>
    <t>TDHCA (Assigned by Capital Area HFC)</t>
  </si>
  <si>
    <t>TDHCA (Assigned by City of Dallas HFC)</t>
  </si>
  <si>
    <t>23CF-012</t>
  </si>
  <si>
    <t>Houstin</t>
  </si>
  <si>
    <t>2024 TRADITIONAL CARRYFORWARD</t>
  </si>
  <si>
    <t>2024 NON TRADITIONAL CARRYFORWARD</t>
  </si>
  <si>
    <t>2023 CF</t>
  </si>
  <si>
    <t>Against 2022 &amp; 2023 CF</t>
  </si>
  <si>
    <t>CARRYFORWARD 2023</t>
  </si>
  <si>
    <t>Westmoreland Townhomes</t>
  </si>
  <si>
    <t>Texarkana</t>
  </si>
  <si>
    <t>800 Middle Apartments</t>
  </si>
  <si>
    <t>Brazos HEA, Inc</t>
  </si>
  <si>
    <t>Maxwell</t>
  </si>
  <si>
    <t>Including Amts Reserved</t>
  </si>
  <si>
    <t>THECB</t>
  </si>
  <si>
    <t>Southeast Texas</t>
  </si>
  <si>
    <t>23CF-016</t>
  </si>
  <si>
    <t>23CF-013</t>
  </si>
  <si>
    <t>South Mesa Hills Apts</t>
  </si>
  <si>
    <t>Harris County HA PFC</t>
  </si>
  <si>
    <t>24CF-001</t>
  </si>
  <si>
    <t>Augustine at Palo Alto Apts Phase I</t>
  </si>
  <si>
    <t>San Antonio HT PFC</t>
  </si>
  <si>
    <t>24CF-003</t>
  </si>
  <si>
    <t>Augustine at Palo Alto Apts Phase II</t>
  </si>
  <si>
    <t>24CF-005</t>
  </si>
  <si>
    <t>WITHDRAWN</t>
  </si>
  <si>
    <t>CLOSED</t>
  </si>
  <si>
    <t>MRBs/MCCs</t>
  </si>
  <si>
    <t>24CF-006</t>
  </si>
  <si>
    <t>Creek Bend Phase II Apt Homes</t>
  </si>
  <si>
    <t>El Paso HFC</t>
  </si>
  <si>
    <t>QMBs/MCCs 2024</t>
  </si>
  <si>
    <t>Cameron County</t>
  </si>
  <si>
    <t>Central Texas</t>
  </si>
  <si>
    <t>Single Family MRBs/MCCs, Series 2024</t>
  </si>
  <si>
    <t>QMBs/MCCs Series 2024</t>
  </si>
  <si>
    <t>Seville Place Apartments</t>
  </si>
  <si>
    <t>La Porte</t>
  </si>
  <si>
    <t>Lakeway Apartments</t>
  </si>
  <si>
    <t>24CF-008</t>
  </si>
  <si>
    <t>Manor Apts</t>
  </si>
  <si>
    <t>24CF-010</t>
  </si>
  <si>
    <t>Bristol at the Preserve Apts Phase I</t>
  </si>
  <si>
    <t>24CF-011</t>
  </si>
  <si>
    <t>Bristol at the Preserve Apts Phase II</t>
  </si>
  <si>
    <t>24CF-012</t>
  </si>
  <si>
    <t>Sunset Ridge Apts</t>
  </si>
  <si>
    <t>24CF-013</t>
  </si>
  <si>
    <t>Stones Crossing Apt Homes</t>
  </si>
  <si>
    <t>24CF-014</t>
  </si>
  <si>
    <t>TDHCA (Assigned by Rowlett HFC)</t>
  </si>
  <si>
    <t>2025 TRADITIONAL CARRYFORWARD</t>
  </si>
  <si>
    <t>2025 NON TRADITIONAL CARRYFORWARD</t>
  </si>
  <si>
    <t>CARRYFORWARD 2024</t>
  </si>
  <si>
    <t>Denton County HFC</t>
  </si>
  <si>
    <t>Lewisville</t>
  </si>
  <si>
    <t>Torrington Forest</t>
  </si>
  <si>
    <t>Jefferson County HFC</t>
  </si>
  <si>
    <t>Beaumont</t>
  </si>
  <si>
    <t>Serenity Palms</t>
  </si>
  <si>
    <t>Haverstock East</t>
  </si>
  <si>
    <t>Haverstock West</t>
  </si>
  <si>
    <t>Tax-Exempt Student Loan Program Revenue Bonds</t>
  </si>
  <si>
    <t>McAllen</t>
  </si>
  <si>
    <t>Port Lavaca Housing Management PFC</t>
  </si>
  <si>
    <t>Cottages on Independence</t>
  </si>
  <si>
    <t>Port Lavaca</t>
  </si>
  <si>
    <t>Lakeside Lofts</t>
  </si>
  <si>
    <t>Central at Commerce</t>
  </si>
  <si>
    <t>Lofts at Creekview</t>
  </si>
  <si>
    <t>Lafayette Apartments</t>
  </si>
  <si>
    <t>Sacred Heart Villa Apartments</t>
  </si>
  <si>
    <t>The Bloom at Lamar Square</t>
  </si>
  <si>
    <t>24CF-017</t>
  </si>
  <si>
    <t>Braniff Lofts</t>
  </si>
  <si>
    <t>Travis County Facilities Corporation</t>
  </si>
  <si>
    <t>Belmont Apartments</t>
  </si>
  <si>
    <t>2024 CF</t>
  </si>
  <si>
    <t>25CF-001</t>
  </si>
  <si>
    <t>25CF-002</t>
  </si>
  <si>
    <t>Ledgestone Apts</t>
  </si>
  <si>
    <t>Bexar M&amp;DC</t>
  </si>
  <si>
    <t>Housing Options, Inc.</t>
  </si>
  <si>
    <t>Fiji Lofts</t>
  </si>
  <si>
    <t>Pharr HFC</t>
  </si>
  <si>
    <t>Aster Villas Apartments</t>
  </si>
  <si>
    <t>Pharr</t>
  </si>
  <si>
    <t>Bexar County HFC</t>
  </si>
  <si>
    <t>Baraboo Hills</t>
  </si>
  <si>
    <t>Water Furnishing Facilities</t>
  </si>
  <si>
    <t>Victoria HFC</t>
  </si>
  <si>
    <t>Victoria</t>
  </si>
  <si>
    <t>The Ella Apartments</t>
  </si>
  <si>
    <t>Pleasanton PFC</t>
  </si>
  <si>
    <t>Pleasanton</t>
  </si>
  <si>
    <t>Evans &amp; Rosedale Urban Village</t>
  </si>
  <si>
    <t>Alamo Area HFC</t>
  </si>
  <si>
    <t>Kerrville 3 Apts</t>
  </si>
  <si>
    <t>Kerrville</t>
  </si>
  <si>
    <t>Bowie County, Cass County, Delta County, Franklin County, Hopkins County, Lamar County, Morris County, Red River County, Titus County</t>
  </si>
  <si>
    <t>Anderson County, Angelina County, Camp County, Cherokee County, Gregg County, Harrison County, Henderson County, Marion County, Nacogdoches County, Panola County, Rains County, Rusk County, Smith County, Tyler County, Upshur County, Van Zandt County, Wood County</t>
  </si>
  <si>
    <t>Southeast Texas HFC</t>
  </si>
  <si>
    <t>Austin County, Brazoria County, Matagorda County, Walker County, Waller County, Wharton County, City of Baytown, City of Deer Park, City of Dickinson, City of LaMarque, City of LaPorte, Pasadena, Santa Fe, Shoreacres, Texas City, Tomball</t>
  </si>
  <si>
    <t>5409; $30,000,000</t>
  </si>
  <si>
    <t>Avanti Hills</t>
  </si>
  <si>
    <t>North Central HFC</t>
  </si>
  <si>
    <t>Counties of Ellis, Hunt, Kaufman, Navarro, Rockwall and the Cities of Cedar Hill, DeSoto, Duncanville, Lancaster and Waxahachie</t>
  </si>
  <si>
    <t>Wilmer</t>
  </si>
  <si>
    <t>Terrell</t>
  </si>
  <si>
    <t>Clairemont Senior Housing</t>
  </si>
  <si>
    <t>Weatherford</t>
  </si>
  <si>
    <t>West Dell Apartment Homes</t>
  </si>
  <si>
    <t>Terrell HFC</t>
  </si>
  <si>
    <t>Payton Gin Apts</t>
  </si>
  <si>
    <t>QMBs</t>
  </si>
  <si>
    <t>Manchester Apartments (AKA Austin Manor)</t>
  </si>
  <si>
    <t>5455; $8,000,000 &amp; 5456; $8,500,000</t>
  </si>
  <si>
    <t>Against 2023 &amp; 2024 CF</t>
  </si>
  <si>
    <t>TDHCA (Assigned by East Texas HFC)</t>
  </si>
  <si>
    <t>TDHCA (Assigned by Northeast Texas HFC)</t>
  </si>
  <si>
    <t>TDHCA (Assigned by Southeast Texas HFC)</t>
  </si>
  <si>
    <t>Pathways at Santa Rita Courts East</t>
  </si>
  <si>
    <t>TDHCA (Assigned by Houston HFC)</t>
  </si>
  <si>
    <t>Includes $8,500,000 of CF from 2024</t>
  </si>
  <si>
    <t>Includes $8,000,000 of CF from 2024</t>
  </si>
  <si>
    <t>Includes $33,000,000 of CF from 2024</t>
  </si>
  <si>
    <r>
      <t xml:space="preserve">STATUS OF </t>
    </r>
    <r>
      <rPr>
        <b/>
        <sz val="9"/>
        <rFont val="Times New Roman"/>
        <family val="1"/>
      </rPr>
      <t>2026</t>
    </r>
    <r>
      <rPr>
        <sz val="9"/>
        <rFont val="Times New Roman"/>
        <family val="1"/>
      </rPr>
      <t xml:space="preserve"> ALLOCATION PROGRAM AS OF - </t>
    </r>
  </si>
  <si>
    <t xml:space="preserve">2026 STATE CEILING </t>
  </si>
  <si>
    <t>Against 2025 CF</t>
  </si>
  <si>
    <t>2025 CF</t>
  </si>
  <si>
    <t>Any amount returned after 11/15/2026 will go towards 2026 Traditional Carryforward Applications</t>
  </si>
  <si>
    <t>CARRYFORWARD 2025</t>
  </si>
  <si>
    <t>2026 TRADITIONAL CARRYFORWARD</t>
  </si>
  <si>
    <t>2026 UNENCUMBERED STATE CEILING REQUESTS</t>
  </si>
  <si>
    <t>2026 NON TRADITIONAL CARRYFORWARD</t>
  </si>
  <si>
    <t>CAL 2025-2026</t>
  </si>
  <si>
    <t>26-027</t>
  </si>
  <si>
    <t>26-012</t>
  </si>
  <si>
    <t>26-015</t>
  </si>
  <si>
    <t>26-017</t>
  </si>
  <si>
    <t>26-020</t>
  </si>
  <si>
    <t>26-018</t>
  </si>
  <si>
    <t>City of Dallas HFC</t>
  </si>
  <si>
    <t>Fort Worth Family Apts</t>
  </si>
  <si>
    <t>Forest View Senior Living</t>
  </si>
  <si>
    <t>Terrell Family Apartments</t>
  </si>
  <si>
    <t>Mayfield Park Apartments</t>
  </si>
  <si>
    <t>Skyway Villas</t>
  </si>
  <si>
    <t>The Henley</t>
  </si>
  <si>
    <t>26-008</t>
  </si>
  <si>
    <t>26-003</t>
  </si>
  <si>
    <t>26-016</t>
  </si>
  <si>
    <t>26-029</t>
  </si>
  <si>
    <t>Richardson Ridge Apartments</t>
  </si>
  <si>
    <t>Hickory Trail Crossing</t>
  </si>
  <si>
    <t>APEX Townes at Mountain Creek</t>
  </si>
  <si>
    <t>Torrington Creekside</t>
  </si>
  <si>
    <t>26-049</t>
  </si>
  <si>
    <t>26-050</t>
  </si>
  <si>
    <t>Sterlingshire Apartments</t>
  </si>
  <si>
    <t>Fort Bend County HFC</t>
  </si>
  <si>
    <t>Park at Fort Bend</t>
  </si>
  <si>
    <t>Stafford</t>
  </si>
  <si>
    <t>Hardy Yards East</t>
  </si>
  <si>
    <t>26-005</t>
  </si>
  <si>
    <t>26-004</t>
  </si>
  <si>
    <t>Mosaic on Sunrise</t>
  </si>
  <si>
    <t>Round Rock</t>
  </si>
  <si>
    <t>Somerset Seniors</t>
  </si>
  <si>
    <t>Hays Street Lofts</t>
  </si>
  <si>
    <t>Terraces at Cibolo Apartments</t>
  </si>
  <si>
    <t>Boerne</t>
  </si>
  <si>
    <t>26-037</t>
  </si>
  <si>
    <t>26-002</t>
  </si>
  <si>
    <t>26-026</t>
  </si>
  <si>
    <t>26-013</t>
  </si>
  <si>
    <t>26-040</t>
  </si>
  <si>
    <t>26-030</t>
  </si>
  <si>
    <t>26-055</t>
  </si>
  <si>
    <t>26-042</t>
  </si>
  <si>
    <t>26-046</t>
  </si>
  <si>
    <t>Wilson County IDC</t>
  </si>
  <si>
    <t>ECOR Texas Inc Solid Waste Disposal &amp; Recycling Facility</t>
  </si>
  <si>
    <t>Floresville</t>
  </si>
  <si>
    <t>Flynn Meadows Apartments</t>
  </si>
  <si>
    <t>Bexar Management &amp; Development Corporation</t>
  </si>
  <si>
    <t>Miller's Pond Apartments</t>
  </si>
  <si>
    <t>Decker Lane Apartments</t>
  </si>
  <si>
    <t>The Boyd at Westover</t>
  </si>
  <si>
    <t>The Dublin EDC</t>
  </si>
  <si>
    <t>Frontier Feedlot Dublin 2026 Project</t>
  </si>
  <si>
    <t>Dublin</t>
  </si>
  <si>
    <t>Mariposa at Reed Road</t>
  </si>
  <si>
    <t>Cactus Trails Apartments</t>
  </si>
  <si>
    <t>Cameron Road Apartments</t>
  </si>
  <si>
    <t>Mariposa at Ella Boulevard</t>
  </si>
  <si>
    <t>Graphic Packaging International, LLC Project</t>
  </si>
  <si>
    <t>Cuney OS 1</t>
  </si>
  <si>
    <t>Aspire at MLK Apartments</t>
  </si>
  <si>
    <t>The Oaks at Rosehill</t>
  </si>
  <si>
    <t>The Palms at Medina Base Apartments</t>
  </si>
  <si>
    <t>301 Lofts Apartments</t>
  </si>
  <si>
    <t>Brickstone Flats</t>
  </si>
  <si>
    <t>Windshire Apartments</t>
  </si>
  <si>
    <t>Horseshoe Flats</t>
  </si>
  <si>
    <t>Rio Crossing Apartments</t>
  </si>
  <si>
    <t>Dallam County IDC</t>
  </si>
  <si>
    <t>Deer Creek Feeding, LLC</t>
  </si>
  <si>
    <t>Dalhart</t>
  </si>
  <si>
    <t>Community Housing &amp; EDC</t>
  </si>
  <si>
    <t>Tanglewood Apartments</t>
  </si>
  <si>
    <t>Rio Landing Apartments</t>
  </si>
  <si>
    <t>Excludes $17,550,000 of CF from 2024</t>
  </si>
  <si>
    <t>Excludes $52,000,000 of CF from 2024</t>
  </si>
  <si>
    <t>5451; $33,000,000</t>
  </si>
  <si>
    <t>The Aere at Easton Park</t>
  </si>
  <si>
    <t>26-065</t>
  </si>
  <si>
    <t>RESERVED</t>
  </si>
  <si>
    <t>5458; $16,500,000</t>
  </si>
  <si>
    <t>2025CF (5458)</t>
  </si>
  <si>
    <t>5459; $45,000,000</t>
  </si>
  <si>
    <t>5459; $7,000,000</t>
  </si>
  <si>
    <t>2024CF (5252 &amp; 5253)</t>
  </si>
  <si>
    <t>Huntington Place Senior Living Dallas (Site 1)</t>
  </si>
  <si>
    <t>Huntington Place Senior Living Dallas (Site 2)</t>
  </si>
  <si>
    <t>Excludes $6,400,000 of CF from 2024</t>
  </si>
  <si>
    <t>5453; $87,298,849.33</t>
  </si>
  <si>
    <t>5452: $2,731,065.67</t>
  </si>
  <si>
    <t>Excludes $250,000,000 of CF from 2024</t>
  </si>
  <si>
    <t>5460; $13,500,000</t>
  </si>
  <si>
    <t>2025CF (5460)</t>
  </si>
  <si>
    <t>**Tax Credit Email- 1/23/2026- received 1/23/2026</t>
  </si>
  <si>
    <t>**Tax Credit Email- 1/23/2026- received 1/26/2026</t>
  </si>
  <si>
    <t>Murdeaux Villas</t>
  </si>
  <si>
    <t>Excludes $35,000,000 of CF from 2024</t>
  </si>
  <si>
    <t>**Tax Credit Email- 1/26/2026- received 1/26/2026</t>
  </si>
  <si>
    <t>5462; $60,000,000</t>
  </si>
  <si>
    <t>2025CF (5441)</t>
  </si>
  <si>
    <t>2024CF (5246)</t>
  </si>
  <si>
    <t>**Tax Credit Email- 1/23/2026- withdrawn 1/28/2026</t>
  </si>
  <si>
    <t>2025CF (5391)</t>
  </si>
  <si>
    <t>2025CF (5389)</t>
  </si>
  <si>
    <t>Bernicia Place</t>
  </si>
  <si>
    <t>**Tax Credit Email- 1/29/2026- withdrawn 1/30/2026</t>
  </si>
  <si>
    <t>**Tax Credit Email- 1/30/2026- withdrawn 1/30/2026</t>
  </si>
  <si>
    <t>**Tax Credit Email- 1/29/2026- received 1/30/2026</t>
  </si>
  <si>
    <t>5469; $40,000,000</t>
  </si>
  <si>
    <t>5470; $37,000,000</t>
  </si>
  <si>
    <t>2025CF (5444)</t>
  </si>
  <si>
    <t>2025CF (5393)</t>
  </si>
  <si>
    <t>**Tax Credit Email- 1/30/2026- received 1/30/2026</t>
  </si>
  <si>
    <t>**Tax Credit Email- 1/29/2026- withdrawn 2/2/2026</t>
  </si>
  <si>
    <t>**Tax Credit Email- 1/30/2026- received 2/2/2026</t>
  </si>
  <si>
    <t>**Tax Credit Email- 1/29/2026- received</t>
  </si>
  <si>
    <t>**Tax Credit Email- 1/29/2026- received 2/4/2026</t>
  </si>
  <si>
    <t>**Tax Credit Email- 1/29/2026- received 2/3/2026</t>
  </si>
  <si>
    <t>**Tax Credit Email- 1/30/2026- received 2/3/2026</t>
  </si>
  <si>
    <t>**Tax Credit Email- 1/30/2026- withdrawn 2/3/2026</t>
  </si>
  <si>
    <t>**Tax Credit Email- 2/4/2026- received 2/4/2026</t>
  </si>
  <si>
    <t>2025CF (5418)</t>
  </si>
  <si>
    <t>2025CF (5394)</t>
  </si>
  <si>
    <t>**Tax Credit Email- 1/30/2026- received 2/4/2026</t>
  </si>
  <si>
    <t>**Tax Credit Email- 1/30/2026- withdrawn 2/4/2026</t>
  </si>
  <si>
    <t>**Tax Credit Email- 2/2/2026- received 2/5/2026</t>
  </si>
  <si>
    <t>5486; $1,900,000</t>
  </si>
  <si>
    <t>2024CF (24CF-014)</t>
  </si>
  <si>
    <t>5489; $35,000,000</t>
  </si>
  <si>
    <t>2024CF (5203)</t>
  </si>
  <si>
    <t>**Tax Credit Email- 2/4/2026- received 2/9/2026</t>
  </si>
  <si>
    <t>Hughes House II</t>
  </si>
  <si>
    <t>Torrington Wilmer</t>
  </si>
  <si>
    <t>Excludes $15,000,000 of CF from 2023</t>
  </si>
  <si>
    <t>**Tax Credit Email- 2/4/2026- withdrawn 2/9/2026</t>
  </si>
  <si>
    <t>Idlewilde Apts</t>
  </si>
  <si>
    <t>5504; $30,000,000</t>
  </si>
  <si>
    <t>2025CF (5413)</t>
  </si>
  <si>
    <t>5505; $6,000,000</t>
  </si>
  <si>
    <t>5505; $5,000,000</t>
  </si>
  <si>
    <t>5505; $30,450,000</t>
  </si>
  <si>
    <t>2024CF (5246) &amp; 2025CF (5425/5426/5427)</t>
  </si>
  <si>
    <t>Pleasant Hill Village</t>
  </si>
  <si>
    <t>Brittons Place</t>
  </si>
  <si>
    <t>5506; $22,000,000</t>
  </si>
  <si>
    <t>2025CF (5438)</t>
  </si>
  <si>
    <t>Excludes $250,000,000 of CF from 2023 &amp; 2024</t>
  </si>
  <si>
    <t>5453; $162,701,150.67 &amp; 5452; $233,259,100</t>
  </si>
  <si>
    <t>**Tax Credit Email- 2/12/2026- withdrawn 2/18/2026</t>
  </si>
  <si>
    <t>The Jefferson County HFC</t>
  </si>
  <si>
    <t>Timbers Edge Apartments</t>
  </si>
  <si>
    <t>5507; $20,000,000</t>
  </si>
  <si>
    <t>5508; $20,000,000</t>
  </si>
  <si>
    <t>2025CF (5414)</t>
  </si>
  <si>
    <t>2025CF (5415)</t>
  </si>
  <si>
    <t>**Tax Credit Email- 2/19/2026- received 2/24/2026</t>
  </si>
  <si>
    <t>**Tax Credit Email- 2/19/2026- received 2/23/2026</t>
  </si>
  <si>
    <t>5509; $4,000,000</t>
  </si>
  <si>
    <t>2023CF (5095)</t>
  </si>
  <si>
    <t>5510; $18,000,000</t>
  </si>
  <si>
    <t>2025CF (5437)</t>
  </si>
  <si>
    <t xml:space="preserve">WITHDRAWN </t>
  </si>
  <si>
    <t>5475; $18,740,000</t>
  </si>
  <si>
    <t>CURRENT AVAILABLE ALLOCATION 2026</t>
  </si>
  <si>
    <t>Roseland Homes</t>
  </si>
  <si>
    <t>Northeast Texas HFC</t>
  </si>
  <si>
    <t>Sunset Apartments</t>
  </si>
  <si>
    <t>5467; $12,000,000</t>
  </si>
  <si>
    <t>5477; $30,000,000</t>
  </si>
  <si>
    <t>5512; $6,400,000</t>
  </si>
  <si>
    <t>5512; $62,752,737</t>
  </si>
  <si>
    <t>Excludes $30,000,000 of CF from 2024</t>
  </si>
  <si>
    <t>5471; $6,000,000 &amp; 5505; $6,550,000</t>
  </si>
  <si>
    <t>5461; $5,000,000</t>
  </si>
  <si>
    <t>Excludes $60,000,000 of CF from 2024</t>
  </si>
  <si>
    <t>5445; $47,500,000</t>
  </si>
  <si>
    <t>5468; $20,000,000</t>
  </si>
  <si>
    <t>**Tax Credit Email- 3/2/2026- withdrawn 3/5/2026</t>
  </si>
  <si>
    <t>Mount Pleasant EDC</t>
  </si>
  <si>
    <t>Aluminz Mount Pleasant</t>
  </si>
  <si>
    <t>Mt Pleasant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</si>
</sst>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00"/>
    <numFmt numFmtId="166" formatCode="&quot;$&quot;#,##0"/>
    <numFmt numFmtId="167" formatCode="m/d"/>
    <numFmt numFmtId="168" formatCode="_(&quot;$&quot;* #,##0.00_);_(&quot;$&quot;* \(#,##0.00\);_(&quot;$&quot;* &quot;-&quot;_);_(@_)"/>
    <numFmt numFmtId="169" formatCode="0.0%"/>
    <numFmt numFmtId="170" formatCode="_(&quot;$&quot;* #,##0.0_);_(&quot;$&quot;* \(#,##0.0\);_(&quot;$&quot;* &quot;-&quot;??_);_(@_)"/>
    <numFmt numFmtId="171" formatCode="0.000%"/>
    <numFmt numFmtId="172" formatCode="&quot;$&quot;#,##0.000"/>
    <numFmt numFmtId="173" formatCode="&quot;$&quot;#,##0.0000"/>
    <numFmt numFmtId="174" formatCode="_(&quot;$&quot;* #,##0.0000_);_(&quot;$&quot;* \(#,##0.0000\);_(&quot;$&quot;* &quot;-&quot;????_);_(@_)"/>
    <numFmt numFmtId="175" formatCode="_(* #,##0_);_(* \(#,##0\);_(* &quot;-&quot;??_);_(@_)"/>
    <numFmt numFmtId="176" formatCode="0.0000%"/>
    <numFmt numFmtId="177" formatCode="_(&quot;$&quot;* #,##0_);_(&quot;$&quot;* \(#,##0\);_(&quot;$&quot;* &quot;-&quot;?????_);_(@_)"/>
    <numFmt numFmtId="178" formatCode="_(&quot;$&quot;* #,##0.0_);_(&quot;$&quot;* \(#,##0.0\);_(&quot;$&quot;* &quot;-&quot;?_);_(@_)"/>
    <numFmt numFmtId="179" formatCode="0.00000%"/>
    <numFmt numFmtId="180" formatCode="&quot;$&quot;#,##0.0_);[Red]\(&quot;$&quot;#,##0.0\)"/>
    <numFmt numFmtId="181" formatCode="_(&quot;$&quot;* #,##0.00000_);_(&quot;$&quot;* \(#,##0.00000\);_(&quot;$&quot;* &quot;-&quot;?????_);_(@_)"/>
  </numFmts>
  <fonts count="32">
    <font>
      <sz val="9"/>
      <name val="Geneva"/>
    </font>
    <font>
      <b/>
      <sz val="9"/>
      <name val="Geneva"/>
    </font>
    <font>
      <sz val="9"/>
      <name val="Geneva"/>
    </font>
    <font>
      <sz val="8"/>
      <name val="Geneva"/>
    </font>
    <font>
      <sz val="9"/>
      <name val="Times New Roman"/>
      <family val="1"/>
    </font>
    <font>
      <b/>
      <sz val="9"/>
      <name val="Times New Roman"/>
      <family val="1"/>
    </font>
    <font>
      <b/>
      <sz val="9"/>
      <color indexed="10"/>
      <name val="Times New Roman"/>
      <family val="1"/>
    </font>
    <font>
      <sz val="10"/>
      <name val="arial"/>
      <family val="2"/>
    </font>
    <font>
      <b/>
      <sz val="9"/>
      <name val="times new"/>
    </font>
    <font>
      <sz val="9"/>
      <name val="times new"/>
    </font>
    <font>
      <b/>
      <sz val="10"/>
      <name val="Times New Roman"/>
      <family val="1"/>
    </font>
    <font>
      <sz val="10"/>
      <name val="Times New Roman"/>
      <family val="1"/>
    </font>
    <font>
      <sz val="6.75"/>
      <color indexed="8"/>
      <name val="Arial"/>
      <family val="2"/>
    </font>
    <font>
      <sz val="12"/>
      <name val="Garamond"/>
      <family val="1"/>
    </font>
    <font>
      <sz val="9"/>
      <name val="Geneva"/>
      <family val="2"/>
    </font>
    <font>
      <sz val="10"/>
      <name val="Geneva"/>
    </font>
    <font>
      <b/>
      <sz val="10"/>
      <color indexed="12"/>
      <name val="Times New Roman"/>
      <family val="1"/>
    </font>
    <font>
      <i/>
      <sz val="9"/>
      <name val="Times New Roman"/>
      <family val="1"/>
    </font>
    <font>
      <sz val="7.2"/>
      <name val="Times New Roman"/>
      <family val="1"/>
    </font>
    <font>
      <sz val="11"/>
      <color theme="1"/>
      <name val="Calibri"/>
      <family val="2"/>
      <scheme val="minor"/>
    </font>
    <font>
      <sz val="9"/>
      <color theme="1"/>
      <name val="Times New Roman"/>
      <family val="1"/>
    </font>
    <font>
      <sz val="9"/>
      <color rgb="FFFF0000"/>
      <name val="Times New Roman"/>
      <family val="1"/>
    </font>
    <font>
      <b/>
      <sz val="9"/>
      <color rgb="FFFF0000"/>
      <name val="Times New Roman"/>
      <family val="1"/>
    </font>
    <font>
      <sz val="10"/>
      <name val="Garamond"/>
      <family val="1"/>
    </font>
    <font>
      <sz val="12"/>
      <color rgb="FFFF0000"/>
      <name val="Garamond"/>
      <family val="1"/>
    </font>
    <font>
      <b/>
      <sz val="9"/>
      <color rgb="FF00B050"/>
      <name val="Times New Roman"/>
      <family val="1"/>
    </font>
    <font>
      <b/>
      <sz val="9"/>
      <color rgb="FFFF0000"/>
      <name val="Geneva"/>
    </font>
    <font>
      <sz val="9"/>
      <color rgb="FFFF0000"/>
      <name val="Geneva"/>
    </font>
    <font>
      <i/>
      <sz val="9"/>
      <color rgb="FF7030A0"/>
      <name val="Geneva"/>
    </font>
    <font>
      <sz val="8"/>
      <color rgb="FF000000"/>
      <name val="Arial"/>
      <family val="2"/>
    </font>
    <font>
      <sz val="9"/>
      <color rgb="FF0070C0"/>
      <name val="Times New Roman"/>
      <family val="1"/>
    </font>
    <font>
      <sz val="9"/>
      <color rgb="FF7030A0"/>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bottom/>
      <diagonal/>
    </border>
    <border>
      <left style="medium">
        <color indexed="64"/>
      </left>
      <right/>
      <top style="thin">
        <color indexed="64"/>
      </top>
      <bottom style="medium">
        <color indexed="64"/>
      </bottom>
      <diagonal/>
    </border>
    <border>
      <left/>
      <right style="thick">
        <color indexed="64"/>
      </right>
      <top style="thin">
        <color indexed="64"/>
      </top>
      <bottom style="double">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9">
    <xf numFmtId="0" fontId="0" fillId="0" borderId="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165" fontId="14"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5"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19"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0" fontId="2" fillId="0" borderId="0"/>
    <xf numFmtId="0" fontId="19" fillId="0" borderId="0"/>
    <xf numFmtId="0" fontId="14"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2" fillId="0" borderId="0"/>
    <xf numFmtId="0" fontId="15"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0" borderId="0"/>
    <xf numFmtId="0" fontId="2" fillId="0" borderId="0"/>
    <xf numFmtId="0" fontId="15" fillId="0" borderId="0"/>
    <xf numFmtId="0" fontId="2" fillId="0" borderId="0"/>
    <xf numFmtId="0" fontId="2" fillId="0" borderId="0"/>
    <xf numFmtId="0" fontId="2" fillId="0" borderId="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9" fontId="2" fillId="0" borderId="0" applyFont="0" applyFill="0" applyBorder="0" applyAlignment="0" applyProtection="0"/>
    <xf numFmtId="9" fontId="1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550">
    <xf numFmtId="0" fontId="0" fillId="0" borderId="0" xfId="0"/>
    <xf numFmtId="0" fontId="4" fillId="0" borderId="0" xfId="0" applyFont="1"/>
    <xf numFmtId="166" fontId="4" fillId="0" borderId="0" xfId="8" applyNumberFormat="1" applyFont="1"/>
    <xf numFmtId="14" fontId="4" fillId="0" borderId="0" xfId="0" applyNumberFormat="1" applyFont="1"/>
    <xf numFmtId="0" fontId="5" fillId="0" borderId="0" xfId="0" applyFont="1"/>
    <xf numFmtId="0" fontId="5" fillId="0" borderId="0" xfId="0" applyFont="1" applyAlignment="1">
      <alignment horizontal="center"/>
    </xf>
    <xf numFmtId="14" fontId="5" fillId="0" borderId="0" xfId="0" applyNumberFormat="1" applyFont="1" applyAlignment="1">
      <alignment horizontal="center"/>
    </xf>
    <xf numFmtId="14" fontId="5" fillId="0" borderId="0" xfId="0" applyNumberFormat="1" applyFont="1"/>
    <xf numFmtId="6" fontId="4" fillId="0" borderId="0" xfId="0" applyNumberFormat="1" applyFont="1"/>
    <xf numFmtId="164" fontId="4" fillId="0" borderId="0" xfId="0" applyNumberFormat="1" applyFont="1"/>
    <xf numFmtId="164" fontId="4" fillId="0" borderId="0" xfId="0" applyNumberFormat="1" applyFont="1" applyAlignment="1">
      <alignment horizontal="center"/>
    </xf>
    <xf numFmtId="14" fontId="4" fillId="0" borderId="0" xfId="0" applyNumberFormat="1" applyFont="1" applyAlignment="1">
      <alignment horizontal="center"/>
    </xf>
    <xf numFmtId="165" fontId="4" fillId="0" borderId="0" xfId="8" applyFont="1" applyAlignment="1">
      <alignment horizontal="center"/>
    </xf>
    <xf numFmtId="0" fontId="4" fillId="0" borderId="0" xfId="0" applyFont="1" applyAlignment="1">
      <alignment horizontal="center"/>
    </xf>
    <xf numFmtId="10" fontId="4" fillId="0" borderId="0" xfId="48" applyNumberFormat="1" applyFont="1"/>
    <xf numFmtId="10" fontId="4" fillId="0" borderId="0" xfId="48" applyNumberFormat="1" applyFont="1" applyAlignment="1">
      <alignment horizontal="center"/>
    </xf>
    <xf numFmtId="0" fontId="5" fillId="0" borderId="1" xfId="0" applyFont="1" applyBorder="1" applyAlignment="1">
      <alignment horizontal="left"/>
    </xf>
    <xf numFmtId="0" fontId="5" fillId="0" borderId="2" xfId="0" applyFont="1" applyBorder="1" applyAlignment="1">
      <alignment horizontal="center"/>
    </xf>
    <xf numFmtId="5" fontId="5" fillId="0" borderId="2" xfId="0" applyNumberFormat="1" applyFont="1" applyBorder="1" applyAlignment="1">
      <alignment horizontal="center"/>
    </xf>
    <xf numFmtId="164" fontId="4" fillId="0" borderId="2" xfId="8" applyNumberFormat="1" applyFont="1" applyBorder="1" applyAlignment="1">
      <alignment horizontal="center"/>
    </xf>
    <xf numFmtId="164" fontId="5" fillId="0" borderId="2" xfId="23" applyNumberFormat="1" applyFont="1" applyBorder="1" applyAlignment="1">
      <alignment horizontal="right"/>
    </xf>
    <xf numFmtId="5" fontId="4" fillId="0" borderId="2" xfId="0" applyNumberFormat="1" applyFont="1" applyBorder="1" applyAlignment="1">
      <alignment horizontal="center"/>
    </xf>
    <xf numFmtId="14" fontId="4" fillId="0" borderId="2" xfId="0" applyNumberFormat="1" applyFont="1" applyBorder="1" applyAlignment="1">
      <alignment horizontal="center"/>
    </xf>
    <xf numFmtId="14" fontId="5" fillId="0" borderId="3" xfId="0" applyNumberFormat="1" applyFont="1" applyBorder="1" applyAlignment="1">
      <alignment horizontal="center"/>
    </xf>
    <xf numFmtId="0" fontId="4" fillId="0" borderId="2" xfId="0" applyFont="1" applyBorder="1" applyAlignment="1">
      <alignment horizontal="center"/>
    </xf>
    <xf numFmtId="0" fontId="5" fillId="0" borderId="4" xfId="0" applyFont="1" applyBorder="1" applyAlignment="1">
      <alignment horizontal="left"/>
    </xf>
    <xf numFmtId="5" fontId="5" fillId="0" borderId="0" xfId="0" applyNumberFormat="1" applyFont="1" applyAlignment="1">
      <alignment horizontal="center"/>
    </xf>
    <xf numFmtId="164" fontId="4" fillId="0" borderId="0" xfId="8" applyNumberFormat="1" applyFont="1" applyBorder="1" applyAlignment="1">
      <alignment horizontal="center"/>
    </xf>
    <xf numFmtId="164" fontId="5" fillId="0" borderId="0" xfId="23" applyNumberFormat="1" applyFont="1" applyBorder="1" applyAlignment="1">
      <alignment horizontal="right"/>
    </xf>
    <xf numFmtId="7" fontId="4" fillId="0" borderId="0" xfId="0" applyNumberFormat="1" applyFont="1" applyAlignment="1">
      <alignment horizontal="center"/>
    </xf>
    <xf numFmtId="14" fontId="5" fillId="0" borderId="5" xfId="0" applyNumberFormat="1" applyFont="1" applyBorder="1" applyAlignment="1">
      <alignment horizontal="center"/>
    </xf>
    <xf numFmtId="0" fontId="5" fillId="0" borderId="4" xfId="0" applyFont="1" applyBorder="1" applyAlignment="1">
      <alignment horizontal="center"/>
    </xf>
    <xf numFmtId="164" fontId="5" fillId="0" borderId="0" xfId="8" applyNumberFormat="1" applyFont="1" applyBorder="1" applyAlignment="1">
      <alignment horizontal="center"/>
    </xf>
    <xf numFmtId="0" fontId="5" fillId="0" borderId="6" xfId="0" applyFont="1" applyBorder="1" applyAlignment="1">
      <alignment horizontal="center"/>
    </xf>
    <xf numFmtId="164" fontId="4" fillId="0" borderId="0" xfId="8" applyNumberFormat="1" applyFont="1" applyAlignment="1">
      <alignment horizontal="center"/>
    </xf>
    <xf numFmtId="44" fontId="4" fillId="0" borderId="0" xfId="8" applyNumberFormat="1" applyFont="1" applyAlignment="1">
      <alignment horizontal="center"/>
    </xf>
    <xf numFmtId="5" fontId="4" fillId="0" borderId="0" xfId="0" applyNumberFormat="1" applyFont="1" applyAlignment="1">
      <alignment horizontal="center"/>
    </xf>
    <xf numFmtId="0" fontId="5" fillId="0" borderId="7" xfId="0" applyFont="1" applyBorder="1" applyAlignment="1">
      <alignment horizontal="center"/>
    </xf>
    <xf numFmtId="0" fontId="4" fillId="0" borderId="6" xfId="0" applyFont="1" applyBorder="1" applyAlignment="1">
      <alignment horizontal="center"/>
    </xf>
    <xf numFmtId="5" fontId="5" fillId="0" borderId="6" xfId="0" applyNumberFormat="1" applyFont="1" applyBorder="1" applyAlignment="1">
      <alignment horizontal="center"/>
    </xf>
    <xf numFmtId="14" fontId="5" fillId="0" borderId="6" xfId="0" applyNumberFormat="1" applyFont="1" applyBorder="1" applyAlignment="1">
      <alignment horizontal="center"/>
    </xf>
    <xf numFmtId="166" fontId="4" fillId="0" borderId="0" xfId="8" applyNumberFormat="1" applyFont="1" applyAlignment="1">
      <alignment horizontal="right"/>
    </xf>
    <xf numFmtId="166" fontId="4" fillId="0" borderId="0" xfId="8" applyNumberFormat="1" applyFont="1" applyBorder="1" applyAlignment="1">
      <alignment horizontal="right"/>
    </xf>
    <xf numFmtId="0" fontId="4" fillId="0" borderId="0" xfId="0" applyFont="1" applyAlignment="1">
      <alignment horizontal="left"/>
    </xf>
    <xf numFmtId="165" fontId="4" fillId="0" borderId="0" xfId="8" applyFont="1" applyBorder="1" applyAlignment="1">
      <alignment horizontal="center"/>
    </xf>
    <xf numFmtId="44" fontId="4" fillId="0" borderId="0" xfId="8" applyNumberFormat="1" applyFont="1" applyBorder="1" applyAlignment="1">
      <alignment horizontal="center"/>
    </xf>
    <xf numFmtId="165" fontId="5" fillId="0" borderId="0" xfId="8" applyFont="1" applyBorder="1" applyAlignment="1">
      <alignment horizontal="center"/>
    </xf>
    <xf numFmtId="44" fontId="5" fillId="0" borderId="0" xfId="8" applyNumberFormat="1" applyFont="1" applyBorder="1" applyAlignment="1">
      <alignment horizontal="center"/>
    </xf>
    <xf numFmtId="0" fontId="5" fillId="0" borderId="0" xfId="0" applyFont="1" applyAlignment="1">
      <alignment horizontal="left"/>
    </xf>
    <xf numFmtId="44" fontId="4" fillId="0" borderId="0" xfId="0" applyNumberFormat="1" applyFont="1" applyAlignment="1">
      <alignment horizontal="center"/>
    </xf>
    <xf numFmtId="165" fontId="4" fillId="0" borderId="0" xfId="8" applyFont="1" applyBorder="1" applyAlignment="1">
      <alignment horizontal="right"/>
    </xf>
    <xf numFmtId="165" fontId="4" fillId="0" borderId="0" xfId="8" applyFont="1" applyAlignment="1">
      <alignment horizontal="right"/>
    </xf>
    <xf numFmtId="164" fontId="5" fillId="0" borderId="0" xfId="0" applyNumberFormat="1" applyFont="1" applyAlignment="1">
      <alignment horizontal="center"/>
    </xf>
    <xf numFmtId="166" fontId="4" fillId="0" borderId="0" xfId="8" applyNumberFormat="1" applyFont="1" applyBorder="1" applyAlignment="1">
      <alignment horizontal="center"/>
    </xf>
    <xf numFmtId="166" fontId="5" fillId="0" borderId="0" xfId="8" applyNumberFormat="1" applyFont="1" applyBorder="1" applyAlignment="1">
      <alignment horizontal="center"/>
    </xf>
    <xf numFmtId="164" fontId="5" fillId="0" borderId="6" xfId="8" applyNumberFormat="1" applyFont="1" applyBorder="1" applyAlignment="1">
      <alignment horizontal="center"/>
    </xf>
    <xf numFmtId="166" fontId="5" fillId="0" borderId="6" xfId="8" applyNumberFormat="1" applyFont="1" applyBorder="1" applyAlignment="1">
      <alignment horizontal="center"/>
    </xf>
    <xf numFmtId="166" fontId="4" fillId="0" borderId="0" xfId="8" applyNumberFormat="1" applyFont="1" applyAlignment="1">
      <alignment horizontal="center"/>
    </xf>
    <xf numFmtId="0" fontId="5" fillId="0" borderId="0" xfId="0" applyFont="1" applyAlignment="1">
      <alignment horizontal="right"/>
    </xf>
    <xf numFmtId="164" fontId="4" fillId="0" borderId="0" xfId="8" applyNumberFormat="1" applyFont="1" applyBorder="1" applyAlignment="1">
      <alignment horizontal="right"/>
    </xf>
    <xf numFmtId="164" fontId="4" fillId="0" borderId="0" xfId="8" applyNumberFormat="1" applyFont="1" applyAlignment="1">
      <alignment horizontal="right"/>
    </xf>
    <xf numFmtId="6" fontId="4" fillId="0" borderId="0" xfId="0" applyNumberFormat="1" applyFont="1" applyAlignment="1">
      <alignment horizontal="center"/>
    </xf>
    <xf numFmtId="42" fontId="5" fillId="0" borderId="0" xfId="8" applyNumberFormat="1" applyFont="1" applyAlignment="1">
      <alignment horizontal="right"/>
    </xf>
    <xf numFmtId="164" fontId="4" fillId="0" borderId="0" xfId="0" applyNumberFormat="1" applyFont="1" applyAlignment="1">
      <alignment horizontal="right"/>
    </xf>
    <xf numFmtId="164" fontId="5" fillId="0" borderId="0" xfId="0" applyNumberFormat="1" applyFont="1" applyAlignment="1">
      <alignment horizontal="right"/>
    </xf>
    <xf numFmtId="42" fontId="4" fillId="0" borderId="0" xfId="8" applyNumberFormat="1" applyFont="1" applyAlignment="1">
      <alignment horizontal="center"/>
    </xf>
    <xf numFmtId="42" fontId="4" fillId="0" borderId="0" xfId="8" applyNumberFormat="1" applyFont="1" applyBorder="1" applyAlignment="1">
      <alignment horizontal="center"/>
    </xf>
    <xf numFmtId="42" fontId="4" fillId="0" borderId="0" xfId="0" applyNumberFormat="1" applyFont="1" applyAlignment="1">
      <alignment horizontal="center"/>
    </xf>
    <xf numFmtId="164" fontId="4" fillId="0" borderId="9" xfId="8" applyNumberFormat="1" applyFont="1" applyBorder="1" applyAlignment="1">
      <alignment horizontal="center"/>
    </xf>
    <xf numFmtId="42" fontId="5" fillId="0" borderId="0" xfId="0" applyNumberFormat="1" applyFont="1" applyAlignment="1">
      <alignment horizontal="center"/>
    </xf>
    <xf numFmtId="164" fontId="5" fillId="0" borderId="2" xfId="23" applyNumberFormat="1" applyFont="1" applyBorder="1" applyAlignment="1">
      <alignment horizontal="center"/>
    </xf>
    <xf numFmtId="164" fontId="4" fillId="0" borderId="0" xfId="23" applyNumberFormat="1" applyFont="1" applyBorder="1" applyAlignment="1">
      <alignment horizontal="center"/>
    </xf>
    <xf numFmtId="14" fontId="4" fillId="0" borderId="5" xfId="0" applyNumberFormat="1" applyFont="1" applyBorder="1" applyAlignment="1">
      <alignment horizontal="center"/>
    </xf>
    <xf numFmtId="164" fontId="5" fillId="0" borderId="0" xfId="23" applyNumberFormat="1" applyFont="1" applyBorder="1" applyAlignment="1">
      <alignment horizontal="center"/>
    </xf>
    <xf numFmtId="164" fontId="5" fillId="0" borderId="6" xfId="23" applyNumberFormat="1" applyFont="1" applyBorder="1" applyAlignment="1">
      <alignment horizontal="center"/>
    </xf>
    <xf numFmtId="42" fontId="5" fillId="0" borderId="0" xfId="0" applyNumberFormat="1" applyFont="1"/>
    <xf numFmtId="42" fontId="4" fillId="0" borderId="0" xfId="0" applyNumberFormat="1" applyFont="1"/>
    <xf numFmtId="164" fontId="5" fillId="0" borderId="9" xfId="0" applyNumberFormat="1" applyFont="1" applyBorder="1"/>
    <xf numFmtId="4" fontId="4" fillId="0" borderId="0" xfId="0" applyNumberFormat="1" applyFont="1" applyAlignment="1">
      <alignment horizontal="center"/>
    </xf>
    <xf numFmtId="4" fontId="5" fillId="0" borderId="0" xfId="0" applyNumberFormat="1" applyFont="1" applyAlignment="1">
      <alignment horizontal="center"/>
    </xf>
    <xf numFmtId="8" fontId="4" fillId="0" borderId="0" xfId="0" applyNumberFormat="1" applyFont="1" applyAlignment="1">
      <alignment horizontal="center"/>
    </xf>
    <xf numFmtId="42" fontId="4" fillId="0" borderId="9" xfId="0" applyNumberFormat="1" applyFont="1" applyBorder="1"/>
    <xf numFmtId="44" fontId="4" fillId="0" borderId="0" xfId="0" applyNumberFormat="1" applyFont="1"/>
    <xf numFmtId="42" fontId="5" fillId="0" borderId="0" xfId="8" applyNumberFormat="1" applyFont="1" applyBorder="1" applyAlignment="1">
      <alignment horizontal="center"/>
    </xf>
    <xf numFmtId="164" fontId="4" fillId="0" borderId="9" xfId="0" applyNumberFormat="1" applyFont="1" applyBorder="1" applyAlignment="1">
      <alignment horizontal="right"/>
    </xf>
    <xf numFmtId="5" fontId="4" fillId="0" borderId="0" xfId="8" applyNumberFormat="1" applyFont="1" applyBorder="1" applyAlignment="1">
      <alignment horizontal="center"/>
    </xf>
    <xf numFmtId="0" fontId="4" fillId="0" borderId="10" xfId="0" applyFont="1" applyBorder="1"/>
    <xf numFmtId="20" fontId="4" fillId="0" borderId="0" xfId="0" applyNumberFormat="1" applyFont="1"/>
    <xf numFmtId="5" fontId="5" fillId="0" borderId="11" xfId="0" applyNumberFormat="1" applyFont="1" applyBorder="1" applyAlignment="1">
      <alignment horizontal="center"/>
    </xf>
    <xf numFmtId="0" fontId="5" fillId="0" borderId="11" xfId="0" applyFont="1" applyBorder="1" applyAlignment="1">
      <alignment horizontal="center"/>
    </xf>
    <xf numFmtId="4" fontId="5" fillId="0" borderId="11" xfId="0" applyNumberFormat="1" applyFont="1" applyBorder="1" applyAlignment="1">
      <alignment horizontal="center"/>
    </xf>
    <xf numFmtId="14" fontId="5" fillId="0" borderId="11" xfId="0" applyNumberFormat="1" applyFont="1" applyBorder="1" applyAlignment="1">
      <alignment horizontal="center"/>
    </xf>
    <xf numFmtId="14" fontId="4" fillId="0" borderId="0" xfId="0" applyNumberFormat="1" applyFont="1" applyAlignment="1">
      <alignment horizontal="left"/>
    </xf>
    <xf numFmtId="14" fontId="4" fillId="0" borderId="0" xfId="8" applyNumberFormat="1" applyFont="1" applyAlignment="1">
      <alignment horizontal="left"/>
    </xf>
    <xf numFmtId="165" fontId="4" fillId="0" borderId="0" xfId="0" applyNumberFormat="1" applyFont="1" applyAlignment="1">
      <alignment horizontal="center"/>
    </xf>
    <xf numFmtId="42" fontId="5" fillId="0" borderId="0" xfId="0" applyNumberFormat="1" applyFont="1" applyAlignment="1">
      <alignment horizontal="right"/>
    </xf>
    <xf numFmtId="9" fontId="4" fillId="0" borderId="0" xfId="48" applyFont="1"/>
    <xf numFmtId="43" fontId="4" fillId="0" borderId="0" xfId="1" applyFont="1" applyAlignment="1">
      <alignment horizontal="center"/>
    </xf>
    <xf numFmtId="8" fontId="7" fillId="0" borderId="0" xfId="0" applyNumberFormat="1" applyFont="1"/>
    <xf numFmtId="0" fontId="7" fillId="0" borderId="0" xfId="0" applyFont="1"/>
    <xf numFmtId="10" fontId="4" fillId="0" borderId="0" xfId="0" applyNumberFormat="1" applyFont="1" applyAlignment="1">
      <alignment horizontal="center"/>
    </xf>
    <xf numFmtId="0" fontId="9" fillId="0" borderId="2" xfId="0" applyFont="1" applyBorder="1" applyAlignment="1">
      <alignment horizontal="center"/>
    </xf>
    <xf numFmtId="0" fontId="8" fillId="0" borderId="0" xfId="0" applyFont="1" applyAlignment="1">
      <alignment horizontal="center"/>
    </xf>
    <xf numFmtId="164" fontId="9" fillId="0" borderId="0" xfId="8" applyNumberFormat="1" applyFont="1" applyBorder="1" applyAlignment="1">
      <alignment horizontal="center"/>
    </xf>
    <xf numFmtId="0" fontId="9" fillId="0" borderId="0" xfId="0" applyFont="1" applyAlignment="1">
      <alignment horizontal="center"/>
    </xf>
    <xf numFmtId="14" fontId="8" fillId="0" borderId="5" xfId="0" applyNumberFormat="1" applyFont="1" applyBorder="1" applyAlignment="1">
      <alignment horizontal="center"/>
    </xf>
    <xf numFmtId="14" fontId="8" fillId="0" borderId="8" xfId="0" applyNumberFormat="1" applyFont="1" applyBorder="1" applyAlignment="1">
      <alignment horizontal="center"/>
    </xf>
    <xf numFmtId="14" fontId="8" fillId="0" borderId="0" xfId="0" applyNumberFormat="1" applyFont="1" applyAlignment="1">
      <alignment horizontal="center"/>
    </xf>
    <xf numFmtId="14" fontId="9" fillId="0" borderId="0" xfId="0" applyNumberFormat="1" applyFont="1" applyAlignment="1">
      <alignment horizontal="center"/>
    </xf>
    <xf numFmtId="164" fontId="9" fillId="0" borderId="0" xfId="8" applyNumberFormat="1" applyFont="1" applyAlignment="1">
      <alignment horizontal="center"/>
    </xf>
    <xf numFmtId="0" fontId="9" fillId="0" borderId="0" xfId="0" applyFont="1" applyAlignment="1">
      <alignment horizontal="left"/>
    </xf>
    <xf numFmtId="44" fontId="9" fillId="0" borderId="0" xfId="8" applyNumberFormat="1" applyFont="1" applyAlignment="1">
      <alignment horizontal="center"/>
    </xf>
    <xf numFmtId="9" fontId="4" fillId="0" borderId="2" xfId="48" applyFont="1" applyBorder="1" applyAlignment="1">
      <alignment horizontal="center"/>
    </xf>
    <xf numFmtId="9" fontId="4" fillId="0" borderId="0" xfId="48" applyFont="1" applyBorder="1" applyAlignment="1">
      <alignment horizontal="center"/>
    </xf>
    <xf numFmtId="9" fontId="5" fillId="0" borderId="0" xfId="48" applyFont="1" applyBorder="1" applyAlignment="1">
      <alignment horizontal="center"/>
    </xf>
    <xf numFmtId="9" fontId="5" fillId="0" borderId="6" xfId="48" applyFont="1" applyBorder="1" applyAlignment="1">
      <alignment horizontal="center"/>
    </xf>
    <xf numFmtId="43" fontId="4" fillId="0" borderId="0" xfId="0" applyNumberFormat="1" applyFont="1" applyAlignment="1">
      <alignment horizontal="center"/>
    </xf>
    <xf numFmtId="4" fontId="12" fillId="0" borderId="0" xfId="0" applyNumberFormat="1" applyFont="1"/>
    <xf numFmtId="170" fontId="4" fillId="0" borderId="2" xfId="23" applyNumberFormat="1" applyFont="1" applyBorder="1" applyAlignment="1">
      <alignment horizontal="center"/>
    </xf>
    <xf numFmtId="170" fontId="4" fillId="0" borderId="0" xfId="23" applyNumberFormat="1" applyFont="1" applyBorder="1" applyAlignment="1">
      <alignment horizontal="center"/>
    </xf>
    <xf numFmtId="170" fontId="5" fillId="0" borderId="0" xfId="23" applyNumberFormat="1" applyFont="1" applyBorder="1" applyAlignment="1">
      <alignment horizontal="center"/>
    </xf>
    <xf numFmtId="170" fontId="4" fillId="0" borderId="0" xfId="0" applyNumberFormat="1" applyFont="1"/>
    <xf numFmtId="7" fontId="4" fillId="0" borderId="2" xfId="0" applyNumberFormat="1" applyFont="1" applyBorder="1" applyAlignment="1">
      <alignment horizontal="center"/>
    </xf>
    <xf numFmtId="164" fontId="5" fillId="0" borderId="0" xfId="0" applyNumberFormat="1" applyFont="1"/>
    <xf numFmtId="10" fontId="4" fillId="0" borderId="0" xfId="48" applyNumberFormat="1" applyFont="1" applyBorder="1" applyAlignment="1">
      <alignment horizontal="center"/>
    </xf>
    <xf numFmtId="166" fontId="5" fillId="0" borderId="0" xfId="8" applyNumberFormat="1" applyFont="1" applyBorder="1" applyAlignment="1">
      <alignment horizontal="right"/>
    </xf>
    <xf numFmtId="167" fontId="4" fillId="0" borderId="0" xfId="0" applyNumberFormat="1" applyFont="1" applyAlignment="1">
      <alignment horizontal="center"/>
    </xf>
    <xf numFmtId="14" fontId="6" fillId="0" borderId="0" xfId="0" applyNumberFormat="1" applyFont="1" applyAlignment="1">
      <alignment horizontal="center"/>
    </xf>
    <xf numFmtId="42" fontId="4" fillId="0" borderId="2" xfId="8" applyNumberFormat="1" applyFont="1" applyBorder="1" applyAlignment="1">
      <alignment horizontal="center"/>
    </xf>
    <xf numFmtId="42" fontId="5" fillId="0" borderId="6" xfId="8" applyNumberFormat="1" applyFont="1" applyBorder="1" applyAlignment="1">
      <alignment horizontal="center"/>
    </xf>
    <xf numFmtId="0" fontId="4" fillId="0" borderId="2" xfId="0" applyFont="1" applyBorder="1"/>
    <xf numFmtId="165" fontId="4" fillId="0" borderId="0" xfId="8" applyFont="1" applyAlignment="1">
      <alignment horizontal="left"/>
    </xf>
    <xf numFmtId="0" fontId="4" fillId="0" borderId="0" xfId="0" applyFont="1" applyAlignment="1">
      <alignment horizontal="right"/>
    </xf>
    <xf numFmtId="172" fontId="4" fillId="0" borderId="0" xfId="8" applyNumberFormat="1" applyFont="1" applyAlignment="1">
      <alignment horizontal="center"/>
    </xf>
    <xf numFmtId="173" fontId="4" fillId="0" borderId="0" xfId="8" applyNumberFormat="1" applyFont="1" applyAlignment="1">
      <alignment horizontal="center"/>
    </xf>
    <xf numFmtId="0" fontId="4" fillId="0" borderId="4" xfId="0" applyFont="1" applyBorder="1" applyAlignment="1">
      <alignment horizontal="left"/>
    </xf>
    <xf numFmtId="0" fontId="4" fillId="0" borderId="4" xfId="0" applyFont="1" applyBorder="1" applyAlignment="1">
      <alignment horizontal="center"/>
    </xf>
    <xf numFmtId="5" fontId="4" fillId="0" borderId="0" xfId="0" applyNumberFormat="1" applyFont="1"/>
    <xf numFmtId="164" fontId="4" fillId="0" borderId="13" xfId="8" applyNumberFormat="1" applyFont="1" applyBorder="1" applyAlignment="1">
      <alignment horizontal="center"/>
    </xf>
    <xf numFmtId="166" fontId="4" fillId="0" borderId="0" xfId="0" applyNumberFormat="1" applyFont="1"/>
    <xf numFmtId="164" fontId="9" fillId="0" borderId="0" xfId="8" applyNumberFormat="1" applyFont="1" applyAlignment="1"/>
    <xf numFmtId="14" fontId="5" fillId="0" borderId="0" xfId="0" applyNumberFormat="1" applyFont="1" applyAlignment="1">
      <alignment horizontal="left"/>
    </xf>
    <xf numFmtId="169" fontId="4" fillId="0" borderId="0" xfId="48" applyNumberFormat="1" applyFont="1"/>
    <xf numFmtId="44" fontId="5" fillId="0" borderId="0" xfId="0" applyNumberFormat="1" applyFont="1"/>
    <xf numFmtId="169" fontId="4" fillId="0" borderId="0" xfId="48" applyNumberFormat="1" applyFont="1" applyAlignment="1">
      <alignment horizontal="center"/>
    </xf>
    <xf numFmtId="169" fontId="9" fillId="0" borderId="0" xfId="48" applyNumberFormat="1" applyFont="1" applyAlignment="1">
      <alignment horizontal="center"/>
    </xf>
    <xf numFmtId="164" fontId="5" fillId="0" borderId="0" xfId="0" applyNumberFormat="1" applyFont="1" applyAlignment="1">
      <alignment horizontal="left"/>
    </xf>
    <xf numFmtId="5" fontId="4" fillId="0" borderId="0" xfId="0" applyNumberFormat="1" applyFont="1" applyAlignment="1">
      <alignment horizontal="left"/>
    </xf>
    <xf numFmtId="42" fontId="4" fillId="0" borderId="0" xfId="0" applyNumberFormat="1" applyFont="1" applyAlignment="1">
      <alignment horizontal="right"/>
    </xf>
    <xf numFmtId="0" fontId="5" fillId="0" borderId="15" xfId="0" applyFont="1" applyBorder="1" applyAlignment="1">
      <alignment horizontal="left"/>
    </xf>
    <xf numFmtId="175" fontId="4" fillId="0" borderId="0" xfId="1" applyNumberFormat="1" applyFont="1" applyAlignment="1">
      <alignment horizontal="center"/>
    </xf>
    <xf numFmtId="14" fontId="4" fillId="0" borderId="0" xfId="0" applyNumberFormat="1" applyFont="1" applyAlignment="1">
      <alignment horizontal="right"/>
    </xf>
    <xf numFmtId="0" fontId="10" fillId="0" borderId="4" xfId="0" applyFont="1" applyBorder="1" applyAlignment="1">
      <alignment horizontal="center"/>
    </xf>
    <xf numFmtId="0" fontId="10" fillId="0" borderId="7" xfId="0" applyFont="1" applyBorder="1" applyAlignment="1">
      <alignment horizontal="center"/>
    </xf>
    <xf numFmtId="0" fontId="11" fillId="0" borderId="6" xfId="0" applyFont="1" applyBorder="1" applyAlignment="1">
      <alignment horizontal="center" vertical="center"/>
    </xf>
    <xf numFmtId="0" fontId="10" fillId="0" borderId="6" xfId="0" applyFont="1" applyBorder="1" applyAlignment="1">
      <alignment horizontal="center"/>
    </xf>
    <xf numFmtId="5" fontId="10" fillId="0" borderId="6" xfId="0" applyNumberFormat="1" applyFont="1" applyBorder="1" applyAlignment="1">
      <alignment horizontal="center"/>
    </xf>
    <xf numFmtId="5" fontId="10" fillId="0" borderId="6" xfId="0" applyNumberFormat="1" applyFont="1" applyBorder="1" applyAlignment="1">
      <alignment horizontal="left"/>
    </xf>
    <xf numFmtId="0" fontId="16" fillId="0" borderId="1" xfId="0" applyFont="1" applyBorder="1"/>
    <xf numFmtId="0" fontId="11" fillId="0" borderId="2" xfId="0" applyFont="1" applyBorder="1"/>
    <xf numFmtId="42" fontId="11" fillId="0" borderId="2" xfId="0" applyNumberFormat="1" applyFont="1" applyBorder="1"/>
    <xf numFmtId="0" fontId="5" fillId="0" borderId="16" xfId="0" applyFont="1" applyBorder="1"/>
    <xf numFmtId="166" fontId="10" fillId="0" borderId="2" xfId="8" applyNumberFormat="1" applyFont="1" applyBorder="1"/>
    <xf numFmtId="168" fontId="4" fillId="0" borderId="0" xfId="8" applyNumberFormat="1" applyFont="1" applyAlignment="1">
      <alignment horizontal="center"/>
    </xf>
    <xf numFmtId="42" fontId="4" fillId="0" borderId="0" xfId="8" applyNumberFormat="1" applyFont="1" applyBorder="1"/>
    <xf numFmtId="174" fontId="4" fillId="0" borderId="0" xfId="0" applyNumberFormat="1" applyFont="1" applyAlignment="1">
      <alignment horizontal="left"/>
    </xf>
    <xf numFmtId="165" fontId="4" fillId="0" borderId="0" xfId="8" applyFont="1"/>
    <xf numFmtId="165" fontId="4" fillId="0" borderId="0" xfId="0" applyNumberFormat="1" applyFont="1"/>
    <xf numFmtId="0" fontId="5" fillId="0" borderId="16" xfId="0" applyFont="1" applyBorder="1" applyAlignment="1">
      <alignment horizontal="left" vertical="center"/>
    </xf>
    <xf numFmtId="0" fontId="11" fillId="0" borderId="0" xfId="0" applyFont="1" applyAlignment="1">
      <alignment horizontal="center"/>
    </xf>
    <xf numFmtId="175" fontId="4" fillId="0" borderId="0" xfId="1" applyNumberFormat="1" applyFont="1"/>
    <xf numFmtId="164" fontId="5" fillId="0" borderId="8" xfId="0" applyNumberFormat="1" applyFont="1" applyBorder="1" applyAlignment="1">
      <alignment horizontal="center"/>
    </xf>
    <xf numFmtId="42" fontId="11" fillId="0" borderId="2" xfId="0" applyNumberFormat="1" applyFont="1" applyBorder="1" applyAlignment="1">
      <alignment horizontal="right"/>
    </xf>
    <xf numFmtId="0" fontId="11" fillId="0" borderId="2" xfId="0" applyFont="1" applyBorder="1" applyAlignment="1">
      <alignment horizontal="right"/>
    </xf>
    <xf numFmtId="166" fontId="11" fillId="0" borderId="2" xfId="8" applyNumberFormat="1" applyFont="1" applyBorder="1" applyAlignment="1">
      <alignment horizontal="right"/>
    </xf>
    <xf numFmtId="42" fontId="10" fillId="0" borderId="0" xfId="8" applyNumberFormat="1" applyFont="1" applyBorder="1" applyAlignment="1">
      <alignment horizontal="right"/>
    </xf>
    <xf numFmtId="166" fontId="10" fillId="0" borderId="0" xfId="8" applyNumberFormat="1" applyFont="1" applyBorder="1" applyAlignment="1">
      <alignment horizontal="right"/>
    </xf>
    <xf numFmtId="42" fontId="10" fillId="0" borderId="6" xfId="8" applyNumberFormat="1" applyFont="1" applyBorder="1" applyAlignment="1">
      <alignment horizontal="right"/>
    </xf>
    <xf numFmtId="14" fontId="10" fillId="0" borderId="6" xfId="0" applyNumberFormat="1" applyFont="1" applyBorder="1" applyAlignment="1">
      <alignment horizontal="right"/>
    </xf>
    <xf numFmtId="166" fontId="10" fillId="0" borderId="6" xfId="8" applyNumberFormat="1" applyFont="1" applyBorder="1" applyAlignment="1">
      <alignment horizontal="right"/>
    </xf>
    <xf numFmtId="0" fontId="4" fillId="0" borderId="2" xfId="0" applyFont="1" applyBorder="1" applyAlignment="1">
      <alignment horizontal="right"/>
    </xf>
    <xf numFmtId="1" fontId="10" fillId="0" borderId="6" xfId="8" applyNumberFormat="1" applyFont="1" applyBorder="1" applyAlignment="1">
      <alignment horizontal="right"/>
    </xf>
    <xf numFmtId="42" fontId="10" fillId="0" borderId="6" xfId="0" applyNumberFormat="1" applyFont="1" applyBorder="1" applyAlignment="1">
      <alignment horizontal="right"/>
    </xf>
    <xf numFmtId="14" fontId="5" fillId="0" borderId="0" xfId="0" applyNumberFormat="1" applyFont="1" applyAlignment="1">
      <alignment horizontal="right"/>
    </xf>
    <xf numFmtId="0" fontId="0" fillId="0" borderId="0" xfId="0" applyAlignment="1">
      <alignment horizontal="right"/>
    </xf>
    <xf numFmtId="0" fontId="1" fillId="0" borderId="0" xfId="0" applyFont="1"/>
    <xf numFmtId="43" fontId="4" fillId="0" borderId="0" xfId="1" applyFont="1"/>
    <xf numFmtId="164" fontId="4" fillId="0" borderId="0" xfId="23" applyNumberFormat="1" applyFont="1" applyBorder="1" applyAlignment="1">
      <alignment horizontal="right"/>
    </xf>
    <xf numFmtId="166" fontId="5" fillId="0" borderId="0" xfId="8" applyNumberFormat="1" applyFont="1" applyBorder="1"/>
    <xf numFmtId="175" fontId="4" fillId="0" borderId="0" xfId="1" applyNumberFormat="1" applyFont="1" applyBorder="1"/>
    <xf numFmtId="166" fontId="4" fillId="0" borderId="0" xfId="48" applyNumberFormat="1" applyFont="1"/>
    <xf numFmtId="164" fontId="0" fillId="0" borderId="0" xfId="0" applyNumberFormat="1"/>
    <xf numFmtId="164" fontId="5" fillId="0" borderId="9" xfId="0" applyNumberFormat="1" applyFont="1" applyBorder="1" applyAlignment="1">
      <alignment horizontal="right"/>
    </xf>
    <xf numFmtId="164" fontId="4" fillId="0" borderId="0" xfId="48" applyNumberFormat="1" applyFont="1"/>
    <xf numFmtId="0" fontId="4" fillId="0" borderId="17" xfId="0" applyFont="1" applyBorder="1"/>
    <xf numFmtId="0" fontId="4" fillId="0" borderId="18" xfId="0" applyFont="1" applyBorder="1"/>
    <xf numFmtId="44" fontId="0" fillId="0" borderId="0" xfId="0" applyNumberFormat="1"/>
    <xf numFmtId="164" fontId="5" fillId="0" borderId="19" xfId="0" applyNumberFormat="1" applyFont="1" applyBorder="1" applyAlignment="1">
      <alignment horizontal="right"/>
    </xf>
    <xf numFmtId="14" fontId="0" fillId="0" borderId="0" xfId="0" applyNumberFormat="1"/>
    <xf numFmtId="2" fontId="6" fillId="0" borderId="0" xfId="0" applyNumberFormat="1" applyFont="1" applyAlignment="1">
      <alignment horizontal="center"/>
    </xf>
    <xf numFmtId="0" fontId="20" fillId="0" borderId="0" xfId="0" applyFont="1"/>
    <xf numFmtId="43" fontId="5" fillId="0" borderId="2" xfId="1" applyFont="1" applyBorder="1" applyAlignment="1">
      <alignment horizontal="center"/>
    </xf>
    <xf numFmtId="175" fontId="0" fillId="0" borderId="0" xfId="1" applyNumberFormat="1" applyFont="1"/>
    <xf numFmtId="44" fontId="5" fillId="0" borderId="0" xfId="23" applyFont="1" applyBorder="1" applyAlignment="1">
      <alignment horizontal="center"/>
    </xf>
    <xf numFmtId="171" fontId="5" fillId="0" borderId="0" xfId="48" applyNumberFormat="1" applyFont="1" applyAlignment="1">
      <alignment horizontal="center"/>
    </xf>
    <xf numFmtId="176" fontId="5" fillId="0" borderId="0" xfId="48" applyNumberFormat="1" applyFont="1" applyAlignment="1">
      <alignment horizontal="center"/>
    </xf>
    <xf numFmtId="171" fontId="4" fillId="0" borderId="0" xfId="48" applyNumberFormat="1" applyFont="1" applyAlignment="1">
      <alignment horizontal="center"/>
    </xf>
    <xf numFmtId="176" fontId="4" fillId="0" borderId="0" xfId="48" applyNumberFormat="1" applyFont="1" applyAlignment="1">
      <alignment horizontal="center"/>
    </xf>
    <xf numFmtId="0" fontId="21" fillId="0" borderId="0" xfId="0" applyFont="1" applyAlignment="1">
      <alignment horizontal="left"/>
    </xf>
    <xf numFmtId="164" fontId="5" fillId="0" borderId="0" xfId="8" applyNumberFormat="1" applyFont="1" applyBorder="1" applyAlignment="1">
      <alignment horizontal="right"/>
    </xf>
    <xf numFmtId="0" fontId="5" fillId="0" borderId="0" xfId="8" applyNumberFormat="1" applyFont="1" applyAlignment="1">
      <alignment horizontal="center"/>
    </xf>
    <xf numFmtId="166" fontId="5" fillId="0" borderId="0" xfId="8" applyNumberFormat="1" applyFont="1" applyAlignment="1">
      <alignment horizontal="center"/>
    </xf>
    <xf numFmtId="0" fontId="5" fillId="0" borderId="1" xfId="0" applyFont="1" applyBorder="1" applyAlignment="1">
      <alignment horizontal="right"/>
    </xf>
    <xf numFmtId="164" fontId="5" fillId="0" borderId="2" xfId="0" applyNumberFormat="1" applyFont="1" applyBorder="1" applyAlignment="1">
      <alignment horizontal="right"/>
    </xf>
    <xf numFmtId="42" fontId="5" fillId="0" borderId="2" xfId="0" applyNumberFormat="1" applyFont="1" applyBorder="1" applyAlignment="1">
      <alignment horizontal="right"/>
    </xf>
    <xf numFmtId="6" fontId="5" fillId="0" borderId="2" xfId="0" applyNumberFormat="1" applyFont="1" applyBorder="1" applyAlignment="1">
      <alignment horizontal="right"/>
    </xf>
    <xf numFmtId="168" fontId="5" fillId="0" borderId="2" xfId="0" applyNumberFormat="1" applyFont="1" applyBorder="1" applyAlignment="1">
      <alignment horizontal="right"/>
    </xf>
    <xf numFmtId="44" fontId="5" fillId="0" borderId="2" xfId="0" applyNumberFormat="1" applyFont="1" applyBorder="1" applyAlignment="1">
      <alignment horizontal="right"/>
    </xf>
    <xf numFmtId="42" fontId="4" fillId="0" borderId="2" xfId="0" applyNumberFormat="1" applyFont="1" applyBorder="1" applyAlignment="1">
      <alignment horizontal="right"/>
    </xf>
    <xf numFmtId="42" fontId="4" fillId="0" borderId="2" xfId="8" applyNumberFormat="1" applyFont="1" applyBorder="1"/>
    <xf numFmtId="42" fontId="4" fillId="0" borderId="3" xfId="8" applyNumberFormat="1" applyFont="1" applyBorder="1"/>
    <xf numFmtId="42" fontId="4" fillId="0" borderId="3" xfId="0" applyNumberFormat="1" applyFont="1" applyBorder="1"/>
    <xf numFmtId="0" fontId="5" fillId="0" borderId="4" xfId="0" applyFont="1" applyBorder="1" applyAlignment="1">
      <alignment horizontal="right"/>
    </xf>
    <xf numFmtId="42" fontId="4" fillId="0" borderId="5" xfId="8" applyNumberFormat="1" applyFont="1" applyBorder="1"/>
    <xf numFmtId="42" fontId="4" fillId="0" borderId="5" xfId="0" applyNumberFormat="1" applyFont="1" applyBorder="1"/>
    <xf numFmtId="0" fontId="5" fillId="0" borderId="7" xfId="0" applyFont="1" applyBorder="1" applyAlignment="1">
      <alignment horizontal="right"/>
    </xf>
    <xf numFmtId="164" fontId="5" fillId="0" borderId="6" xfId="0" applyNumberFormat="1" applyFont="1" applyBorder="1" applyAlignment="1">
      <alignment horizontal="right"/>
    </xf>
    <xf numFmtId="42" fontId="5" fillId="0" borderId="6" xfId="0" applyNumberFormat="1" applyFont="1" applyBorder="1" applyAlignment="1">
      <alignment horizontal="right"/>
    </xf>
    <xf numFmtId="42" fontId="5" fillId="0" borderId="20" xfId="0" applyNumberFormat="1" applyFont="1" applyBorder="1" applyAlignment="1">
      <alignment horizontal="right"/>
    </xf>
    <xf numFmtId="44" fontId="5" fillId="0" borderId="20" xfId="0" applyNumberFormat="1" applyFont="1" applyBorder="1" applyAlignment="1">
      <alignment horizontal="right"/>
    </xf>
    <xf numFmtId="164" fontId="5" fillId="0" borderId="20" xfId="0" applyNumberFormat="1" applyFont="1" applyBorder="1" applyAlignment="1">
      <alignment horizontal="right"/>
    </xf>
    <xf numFmtId="164" fontId="4" fillId="0" borderId="20" xfId="8" applyNumberFormat="1" applyFont="1" applyBorder="1"/>
    <xf numFmtId="42" fontId="4" fillId="0" borderId="20" xfId="8" applyNumberFormat="1" applyFont="1" applyBorder="1"/>
    <xf numFmtId="42" fontId="4" fillId="0" borderId="21" xfId="8" applyNumberFormat="1" applyFont="1" applyBorder="1"/>
    <xf numFmtId="169" fontId="5" fillId="0" borderId="0" xfId="48" applyNumberFormat="1" applyFont="1" applyBorder="1" applyAlignment="1">
      <alignment horizontal="right"/>
    </xf>
    <xf numFmtId="10" fontId="5" fillId="0" borderId="0" xfId="48" applyNumberFormat="1" applyFont="1" applyBorder="1" applyAlignment="1">
      <alignment horizontal="right"/>
    </xf>
    <xf numFmtId="42" fontId="4" fillId="0" borderId="22" xfId="0" applyNumberFormat="1" applyFont="1" applyBorder="1"/>
    <xf numFmtId="0" fontId="4" fillId="0" borderId="4" xfId="0" applyFont="1" applyBorder="1" applyAlignment="1">
      <alignment horizontal="right"/>
    </xf>
    <xf numFmtId="42" fontId="4" fillId="0" borderId="22" xfId="8" applyNumberFormat="1" applyFont="1" applyBorder="1"/>
    <xf numFmtId="44" fontId="4" fillId="0" borderId="0" xfId="8" applyNumberFormat="1" applyFont="1" applyBorder="1" applyAlignment="1">
      <alignment horizontal="right"/>
    </xf>
    <xf numFmtId="0" fontId="4" fillId="0" borderId="4" xfId="0" applyFont="1" applyBorder="1"/>
    <xf numFmtId="42" fontId="17" fillId="0" borderId="0" xfId="8" applyNumberFormat="1" applyFont="1" applyBorder="1"/>
    <xf numFmtId="0" fontId="4" fillId="0" borderId="23" xfId="0" applyFont="1" applyBorder="1"/>
    <xf numFmtId="42" fontId="4" fillId="0" borderId="20" xfId="0" applyNumberFormat="1" applyFont="1" applyBorder="1"/>
    <xf numFmtId="42" fontId="4" fillId="0" borderId="21" xfId="0" applyNumberFormat="1" applyFont="1" applyBorder="1"/>
    <xf numFmtId="42" fontId="4" fillId="0" borderId="12" xfId="0" applyNumberFormat="1" applyFont="1" applyBorder="1"/>
    <xf numFmtId="42" fontId="4" fillId="0" borderId="24" xfId="0" applyNumberFormat="1" applyFont="1" applyBorder="1"/>
    <xf numFmtId="42" fontId="0" fillId="0" borderId="0" xfId="0" applyNumberFormat="1"/>
    <xf numFmtId="164" fontId="7" fillId="0" borderId="0" xfId="0" applyNumberFormat="1" applyFont="1"/>
    <xf numFmtId="168" fontId="4" fillId="0" borderId="0" xfId="0" applyNumberFormat="1" applyFont="1"/>
    <xf numFmtId="42" fontId="4" fillId="0" borderId="0" xfId="48" applyNumberFormat="1" applyFont="1"/>
    <xf numFmtId="0" fontId="18" fillId="0" borderId="0" xfId="0" applyFont="1"/>
    <xf numFmtId="42" fontId="4" fillId="0" borderId="9" xfId="48" applyNumberFormat="1" applyFont="1" applyBorder="1"/>
    <xf numFmtId="169" fontId="4" fillId="0" borderId="9" xfId="48" applyNumberFormat="1" applyFont="1" applyBorder="1"/>
    <xf numFmtId="8" fontId="18" fillId="0" borderId="0" xfId="0" applyNumberFormat="1" applyFont="1"/>
    <xf numFmtId="8" fontId="4" fillId="0" borderId="0" xfId="0" applyNumberFormat="1" applyFont="1"/>
    <xf numFmtId="42" fontId="0" fillId="0" borderId="0" xfId="8" applyNumberFormat="1" applyFont="1"/>
    <xf numFmtId="165" fontId="0" fillId="0" borderId="0" xfId="8" applyFont="1"/>
    <xf numFmtId="175" fontId="5" fillId="0" borderId="0" xfId="1" applyNumberFormat="1" applyFont="1" applyBorder="1" applyAlignment="1">
      <alignment horizontal="center"/>
    </xf>
    <xf numFmtId="175" fontId="5" fillId="0" borderId="0" xfId="0" applyNumberFormat="1" applyFont="1"/>
    <xf numFmtId="175" fontId="5" fillId="0" borderId="0" xfId="0" applyNumberFormat="1" applyFont="1" applyAlignment="1">
      <alignment horizontal="center"/>
    </xf>
    <xf numFmtId="164" fontId="4" fillId="0" borderId="9" xfId="8" applyNumberFormat="1" applyFont="1" applyBorder="1" applyAlignment="1">
      <alignment horizontal="right"/>
    </xf>
    <xf numFmtId="166" fontId="5" fillId="0" borderId="0" xfId="0" applyNumberFormat="1" applyFont="1" applyAlignment="1">
      <alignment horizontal="center"/>
    </xf>
    <xf numFmtId="1" fontId="0" fillId="0" borderId="0" xfId="0" applyNumberFormat="1"/>
    <xf numFmtId="14" fontId="4" fillId="0" borderId="0" xfId="48" applyNumberFormat="1" applyFont="1"/>
    <xf numFmtId="6" fontId="5" fillId="0" borderId="0" xfId="0" applyNumberFormat="1" applyFont="1" applyAlignment="1">
      <alignment horizontal="right"/>
    </xf>
    <xf numFmtId="168" fontId="5" fillId="0" borderId="0" xfId="0" applyNumberFormat="1" applyFont="1" applyAlignment="1">
      <alignment horizontal="right"/>
    </xf>
    <xf numFmtId="44" fontId="5" fillId="0" borderId="0" xfId="0" applyNumberFormat="1" applyFont="1" applyAlignment="1">
      <alignment horizontal="right"/>
    </xf>
    <xf numFmtId="6" fontId="4" fillId="0" borderId="0" xfId="0" applyNumberFormat="1" applyFont="1" applyAlignment="1">
      <alignment horizontal="right"/>
    </xf>
    <xf numFmtId="6" fontId="5" fillId="0" borderId="0" xfId="0" applyNumberFormat="1" applyFont="1"/>
    <xf numFmtId="0" fontId="11" fillId="0" borderId="3" xfId="0" applyFont="1" applyBorder="1"/>
    <xf numFmtId="0" fontId="10" fillId="0" borderId="0" xfId="0" applyFont="1" applyAlignment="1">
      <alignment horizontal="center" vertical="center"/>
    </xf>
    <xf numFmtId="0" fontId="10" fillId="0" borderId="0" xfId="0" applyFont="1" applyAlignment="1">
      <alignment horizontal="center"/>
    </xf>
    <xf numFmtId="5" fontId="10" fillId="0" borderId="0" xfId="0" applyNumberFormat="1" applyFont="1" applyAlignment="1">
      <alignment horizontal="center"/>
    </xf>
    <xf numFmtId="14" fontId="10" fillId="0" borderId="0" xfId="0" applyNumberFormat="1" applyFont="1" applyAlignment="1">
      <alignment horizontal="right"/>
    </xf>
    <xf numFmtId="42" fontId="10" fillId="0" borderId="0" xfId="0" applyNumberFormat="1" applyFont="1" applyAlignment="1">
      <alignment horizontal="right"/>
    </xf>
    <xf numFmtId="14" fontId="10" fillId="0" borderId="5" xfId="0" applyNumberFormat="1" applyFont="1" applyBorder="1"/>
    <xf numFmtId="0" fontId="11" fillId="0" borderId="0" xfId="0" applyFont="1" applyAlignment="1">
      <alignment horizontal="center" vertical="center"/>
    </xf>
    <xf numFmtId="14" fontId="10" fillId="0" borderId="8" xfId="0" applyNumberFormat="1" applyFont="1" applyBorder="1"/>
    <xf numFmtId="0" fontId="4" fillId="0" borderId="3" xfId="0" applyFont="1" applyBorder="1"/>
    <xf numFmtId="5" fontId="10" fillId="0" borderId="0" xfId="0" applyNumberFormat="1" applyFont="1" applyAlignment="1">
      <alignment horizontal="left"/>
    </xf>
    <xf numFmtId="14" fontId="5" fillId="0" borderId="2" xfId="0" applyNumberFormat="1" applyFont="1" applyBorder="1" applyAlignment="1">
      <alignment horizontal="center"/>
    </xf>
    <xf numFmtId="0" fontId="5" fillId="0" borderId="3" xfId="0" applyFont="1" applyBorder="1" applyAlignment="1">
      <alignment horizontal="center"/>
    </xf>
    <xf numFmtId="0" fontId="5" fillId="0" borderId="5" xfId="0" applyFont="1" applyBorder="1" applyAlignment="1">
      <alignment horizontal="center"/>
    </xf>
    <xf numFmtId="0" fontId="4" fillId="0" borderId="5" xfId="0" applyFont="1" applyBorder="1"/>
    <xf numFmtId="0" fontId="21" fillId="0" borderId="0" xfId="0" applyFont="1"/>
    <xf numFmtId="164" fontId="4" fillId="0" borderId="0" xfId="8" applyNumberFormat="1" applyFont="1" applyFill="1" applyBorder="1" applyAlignment="1">
      <alignment horizontal="center"/>
    </xf>
    <xf numFmtId="14" fontId="0" fillId="0" borderId="0" xfId="0" applyNumberFormat="1" applyAlignment="1">
      <alignment horizontal="right"/>
    </xf>
    <xf numFmtId="0" fontId="5" fillId="0" borderId="2" xfId="0" applyFont="1" applyBorder="1" applyAlignment="1">
      <alignment horizontal="left"/>
    </xf>
    <xf numFmtId="5" fontId="4" fillId="0" borderId="0" xfId="48" applyNumberFormat="1" applyFont="1"/>
    <xf numFmtId="0" fontId="9" fillId="0" borderId="11" xfId="0" applyFont="1" applyBorder="1" applyAlignment="1">
      <alignment horizontal="center"/>
    </xf>
    <xf numFmtId="164" fontId="4" fillId="2" borderId="0" xfId="0" applyNumberFormat="1" applyFont="1" applyFill="1" applyAlignment="1">
      <alignment horizontal="center"/>
    </xf>
    <xf numFmtId="0" fontId="4" fillId="2" borderId="0" xfId="0" applyFont="1" applyFill="1" applyAlignment="1">
      <alignment horizontal="center"/>
    </xf>
    <xf numFmtId="0" fontId="5" fillId="0" borderId="11" xfId="0" applyFont="1" applyBorder="1" applyAlignment="1">
      <alignment horizontal="right"/>
    </xf>
    <xf numFmtId="164" fontId="4" fillId="2" borderId="0" xfId="8" applyNumberFormat="1" applyFont="1" applyFill="1" applyAlignment="1">
      <alignment horizontal="left"/>
    </xf>
    <xf numFmtId="0" fontId="4" fillId="2" borderId="25" xfId="0" applyFont="1" applyFill="1" applyBorder="1" applyAlignment="1">
      <alignment horizontal="center"/>
    </xf>
    <xf numFmtId="42" fontId="5" fillId="2" borderId="25" xfId="0" applyNumberFormat="1" applyFont="1" applyFill="1" applyBorder="1" applyAlignment="1">
      <alignment horizontal="center"/>
    </xf>
    <xf numFmtId="164" fontId="4" fillId="2" borderId="0" xfId="0" applyNumberFormat="1" applyFont="1" applyFill="1"/>
    <xf numFmtId="5" fontId="4" fillId="0" borderId="0" xfId="8" applyNumberFormat="1" applyFont="1" applyAlignment="1">
      <alignment horizontal="center"/>
    </xf>
    <xf numFmtId="42" fontId="0" fillId="0" borderId="11" xfId="0" applyNumberFormat="1" applyBorder="1"/>
    <xf numFmtId="42" fontId="0" fillId="3" borderId="0" xfId="0" applyNumberFormat="1" applyFill="1"/>
    <xf numFmtId="164" fontId="4" fillId="0" borderId="26" xfId="8" applyNumberFormat="1" applyFont="1" applyBorder="1" applyAlignment="1">
      <alignment horizontal="center"/>
    </xf>
    <xf numFmtId="164" fontId="5" fillId="0" borderId="25" xfId="0" applyNumberFormat="1" applyFont="1" applyBorder="1" applyAlignment="1">
      <alignment horizontal="right"/>
    </xf>
    <xf numFmtId="164" fontId="5" fillId="0" borderId="27" xfId="0" applyNumberFormat="1" applyFont="1" applyBorder="1" applyAlignment="1">
      <alignment horizontal="right"/>
    </xf>
    <xf numFmtId="164" fontId="4" fillId="0" borderId="15" xfId="0" applyNumberFormat="1" applyFont="1" applyBorder="1" applyAlignment="1">
      <alignment horizontal="right"/>
    </xf>
    <xf numFmtId="164" fontId="4" fillId="0" borderId="0" xfId="0" quotePrefix="1" applyNumberFormat="1" applyFont="1" applyAlignment="1">
      <alignment horizontal="right"/>
    </xf>
    <xf numFmtId="164" fontId="4" fillId="0" borderId="28" xfId="0" applyNumberFormat="1" applyFont="1" applyBorder="1" applyAlignment="1">
      <alignment horizontal="right"/>
    </xf>
    <xf numFmtId="166" fontId="4" fillId="0" borderId="0" xfId="8" applyNumberFormat="1" applyFont="1" applyFill="1" applyBorder="1" applyAlignment="1">
      <alignment horizontal="center"/>
    </xf>
    <xf numFmtId="164" fontId="4" fillId="2" borderId="0" xfId="1" applyNumberFormat="1" applyFont="1" applyFill="1" applyBorder="1"/>
    <xf numFmtId="42" fontId="5" fillId="0" borderId="2" xfId="0" applyNumberFormat="1" applyFont="1" applyBorder="1" applyAlignment="1">
      <alignment horizontal="center"/>
    </xf>
    <xf numFmtId="175" fontId="4" fillId="0" borderId="2" xfId="1" applyNumberFormat="1" applyFont="1" applyBorder="1" applyAlignment="1">
      <alignment horizontal="center"/>
    </xf>
    <xf numFmtId="175" fontId="4" fillId="0" borderId="0" xfId="1" applyNumberFormat="1" applyFont="1" applyBorder="1" applyAlignment="1">
      <alignment horizontal="center"/>
    </xf>
    <xf numFmtId="175" fontId="5" fillId="0" borderId="6" xfId="1" applyNumberFormat="1" applyFont="1" applyBorder="1" applyAlignment="1">
      <alignment horizontal="center"/>
    </xf>
    <xf numFmtId="164" fontId="4" fillId="0" borderId="0" xfId="1" applyNumberFormat="1" applyFont="1"/>
    <xf numFmtId="16" fontId="5" fillId="0" borderId="0" xfId="0" applyNumberFormat="1" applyFont="1" applyAlignment="1">
      <alignment horizontal="left"/>
    </xf>
    <xf numFmtId="0" fontId="5" fillId="0" borderId="26" xfId="0" applyFont="1" applyBorder="1" applyAlignment="1">
      <alignment horizontal="center"/>
    </xf>
    <xf numFmtId="0" fontId="5" fillId="0" borderId="29" xfId="0" applyFont="1" applyBorder="1" applyAlignment="1">
      <alignment horizontal="center"/>
    </xf>
    <xf numFmtId="164" fontId="5" fillId="0" borderId="13" xfId="0" applyNumberFormat="1" applyFont="1" applyBorder="1"/>
    <xf numFmtId="0" fontId="4" fillId="0" borderId="13" xfId="0" applyFont="1" applyBorder="1"/>
    <xf numFmtId="164" fontId="4" fillId="0" borderId="13" xfId="0" applyNumberFormat="1" applyFont="1" applyBorder="1"/>
    <xf numFmtId="42" fontId="4" fillId="0" borderId="13" xfId="0" applyNumberFormat="1" applyFont="1" applyBorder="1"/>
    <xf numFmtId="0" fontId="22" fillId="0" borderId="0" xfId="0" applyFont="1"/>
    <xf numFmtId="44" fontId="5" fillId="0" borderId="9" xfId="0" applyNumberFormat="1" applyFont="1" applyBorder="1" applyAlignment="1">
      <alignment horizontal="right"/>
    </xf>
    <xf numFmtId="44" fontId="4" fillId="0" borderId="14" xfId="0" applyNumberFormat="1" applyFont="1" applyBorder="1" applyAlignment="1">
      <alignment horizontal="right"/>
    </xf>
    <xf numFmtId="165" fontId="5" fillId="0" borderId="2" xfId="8" applyFont="1" applyBorder="1" applyAlignment="1">
      <alignment horizontal="center"/>
    </xf>
    <xf numFmtId="44" fontId="5" fillId="0" borderId="2" xfId="8" applyNumberFormat="1" applyFont="1" applyBorder="1" applyAlignment="1">
      <alignment horizontal="center"/>
    </xf>
    <xf numFmtId="0" fontId="5" fillId="0" borderId="30" xfId="0" applyFont="1" applyBorder="1" applyAlignment="1">
      <alignment horizontal="center"/>
    </xf>
    <xf numFmtId="0" fontId="5"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10" fontId="4" fillId="0" borderId="15" xfId="48" applyNumberFormat="1" applyFont="1" applyBorder="1"/>
    <xf numFmtId="0" fontId="4" fillId="0" borderId="31" xfId="0" applyFont="1" applyBorder="1"/>
    <xf numFmtId="10" fontId="4" fillId="0" borderId="32" xfId="48" applyNumberFormat="1" applyFont="1" applyBorder="1"/>
    <xf numFmtId="42" fontId="10" fillId="0" borderId="33" xfId="0" applyNumberFormat="1" applyFont="1" applyBorder="1" applyAlignment="1">
      <alignment horizontal="center"/>
    </xf>
    <xf numFmtId="42" fontId="10" fillId="0" borderId="34" xfId="0" applyNumberFormat="1" applyFont="1" applyBorder="1" applyAlignment="1">
      <alignment horizontal="center"/>
    </xf>
    <xf numFmtId="42" fontId="10" fillId="0" borderId="35" xfId="0" applyNumberFormat="1" applyFont="1" applyBorder="1" applyAlignment="1">
      <alignment horizontal="center"/>
    </xf>
    <xf numFmtId="168" fontId="4" fillId="0" borderId="20" xfId="0" applyNumberFormat="1" applyFont="1" applyBorder="1"/>
    <xf numFmtId="44" fontId="4" fillId="0" borderId="12" xfId="0" applyNumberFormat="1" applyFont="1" applyBorder="1"/>
    <xf numFmtId="44" fontId="5" fillId="0" borderId="9" xfId="0" applyNumberFormat="1" applyFont="1" applyBorder="1"/>
    <xf numFmtId="164" fontId="4" fillId="0" borderId="12" xfId="0" applyNumberFormat="1" applyFont="1" applyBorder="1"/>
    <xf numFmtId="164" fontId="4" fillId="0" borderId="0" xfId="8" applyNumberFormat="1" applyFont="1" applyFill="1" applyBorder="1" applyAlignment="1">
      <alignment horizontal="left"/>
    </xf>
    <xf numFmtId="164" fontId="5" fillId="0" borderId="0" xfId="8" applyNumberFormat="1" applyFont="1" applyFill="1" applyBorder="1" applyAlignment="1">
      <alignment horizontal="center"/>
    </xf>
    <xf numFmtId="44" fontId="4" fillId="0" borderId="0" xfId="8" applyNumberFormat="1" applyFont="1" applyFill="1" applyBorder="1" applyAlignment="1">
      <alignment horizontal="center"/>
    </xf>
    <xf numFmtId="164" fontId="4" fillId="2" borderId="25" xfId="0" applyNumberFormat="1" applyFont="1" applyFill="1" applyBorder="1" applyAlignment="1">
      <alignment horizontal="center"/>
    </xf>
    <xf numFmtId="42" fontId="5" fillId="0" borderId="0" xfId="8" applyNumberFormat="1" applyFont="1" applyFill="1" applyBorder="1" applyAlignment="1">
      <alignment horizontal="center"/>
    </xf>
    <xf numFmtId="14" fontId="4" fillId="0" borderId="0" xfId="1" applyNumberFormat="1" applyFont="1"/>
    <xf numFmtId="164" fontId="21" fillId="0" borderId="0" xfId="8" applyNumberFormat="1" applyFont="1" applyFill="1" applyBorder="1" applyAlignment="1">
      <alignment horizontal="center"/>
    </xf>
    <xf numFmtId="178" fontId="4" fillId="0" borderId="0" xfId="0" applyNumberFormat="1" applyFont="1" applyAlignment="1">
      <alignment horizontal="center"/>
    </xf>
    <xf numFmtId="44" fontId="4" fillId="0" borderId="9" xfId="8" applyNumberFormat="1" applyFont="1" applyBorder="1" applyAlignment="1">
      <alignment horizontal="right"/>
    </xf>
    <xf numFmtId="44" fontId="13" fillId="0" borderId="0" xfId="0" applyNumberFormat="1" applyFont="1"/>
    <xf numFmtId="14" fontId="4" fillId="0" borderId="0" xfId="8" applyNumberFormat="1" applyFont="1" applyFill="1" applyBorder="1" applyAlignment="1">
      <alignment horizontal="center"/>
    </xf>
    <xf numFmtId="166" fontId="22" fillId="0" borderId="0" xfId="8" applyNumberFormat="1" applyFont="1" applyBorder="1" applyAlignment="1">
      <alignment horizontal="center"/>
    </xf>
    <xf numFmtId="165" fontId="4" fillId="0" borderId="0" xfId="8" applyFont="1" applyFill="1" applyBorder="1" applyAlignment="1">
      <alignment horizontal="center"/>
    </xf>
    <xf numFmtId="14" fontId="5" fillId="0" borderId="2" xfId="23" applyNumberFormat="1" applyFont="1" applyBorder="1" applyAlignment="1">
      <alignment horizontal="right"/>
    </xf>
    <xf numFmtId="14" fontId="5" fillId="0" borderId="0" xfId="23" applyNumberFormat="1" applyFont="1" applyBorder="1" applyAlignment="1">
      <alignment horizontal="right"/>
    </xf>
    <xf numFmtId="7" fontId="4" fillId="0" borderId="0" xfId="0" applyNumberFormat="1" applyFont="1"/>
    <xf numFmtId="8" fontId="0" fillId="0" borderId="0" xfId="0" applyNumberFormat="1"/>
    <xf numFmtId="165" fontId="0" fillId="0" borderId="0" xfId="0" applyNumberFormat="1"/>
    <xf numFmtId="6" fontId="21" fillId="0" borderId="0" xfId="0" applyNumberFormat="1" applyFont="1" applyAlignment="1">
      <alignment horizontal="center"/>
    </xf>
    <xf numFmtId="44" fontId="4" fillId="0" borderId="0" xfId="48" applyNumberFormat="1" applyFont="1" applyAlignment="1">
      <alignment horizontal="right"/>
    </xf>
    <xf numFmtId="0" fontId="11" fillId="0" borderId="2" xfId="0" applyFont="1" applyBorder="1" applyAlignment="1">
      <alignment horizontal="left"/>
    </xf>
    <xf numFmtId="42" fontId="10" fillId="0" borderId="0" xfId="0" applyNumberFormat="1" applyFont="1" applyAlignment="1">
      <alignment horizontal="left"/>
    </xf>
    <xf numFmtId="42" fontId="10" fillId="0" borderId="6" xfId="8" applyNumberFormat="1" applyFont="1" applyBorder="1" applyAlignment="1">
      <alignment horizontal="left"/>
    </xf>
    <xf numFmtId="42" fontId="10" fillId="0" borderId="0" xfId="0" applyNumberFormat="1" applyFont="1" applyAlignment="1">
      <alignment horizontal="center"/>
    </xf>
    <xf numFmtId="14" fontId="10" fillId="0" borderId="5" xfId="0" applyNumberFormat="1" applyFont="1" applyBorder="1" applyAlignment="1">
      <alignment horizontal="left"/>
    </xf>
    <xf numFmtId="14" fontId="10" fillId="0" borderId="8" xfId="0" applyNumberFormat="1" applyFont="1" applyBorder="1" applyAlignment="1">
      <alignment horizontal="left"/>
    </xf>
    <xf numFmtId="42" fontId="10" fillId="0" borderId="5" xfId="0" applyNumberFormat="1" applyFont="1" applyBorder="1" applyAlignment="1">
      <alignment horizontal="left"/>
    </xf>
    <xf numFmtId="42" fontId="10" fillId="0" borderId="8" xfId="8" applyNumberFormat="1" applyFont="1" applyBorder="1" applyAlignment="1">
      <alignment horizontal="left"/>
    </xf>
    <xf numFmtId="164" fontId="4" fillId="0" borderId="0" xfId="8" applyNumberFormat="1" applyFont="1" applyAlignment="1">
      <alignment horizontal="left"/>
    </xf>
    <xf numFmtId="44" fontId="23" fillId="0" borderId="0" xfId="0" applyNumberFormat="1" applyFont="1"/>
    <xf numFmtId="44" fontId="24" fillId="0" borderId="0" xfId="0" applyNumberFormat="1" applyFont="1"/>
    <xf numFmtId="0" fontId="22" fillId="0" borderId="0" xfId="0" applyFont="1" applyAlignment="1">
      <alignment horizontal="center"/>
    </xf>
    <xf numFmtId="164" fontId="25" fillId="0" borderId="0" xfId="0" applyNumberFormat="1" applyFont="1"/>
    <xf numFmtId="44" fontId="13" fillId="0" borderId="0" xfId="0" applyNumberFormat="1" applyFont="1" applyAlignment="1">
      <alignment horizontal="right"/>
    </xf>
    <xf numFmtId="164" fontId="13" fillId="0" borderId="0" xfId="0" applyNumberFormat="1" applyFont="1"/>
    <xf numFmtId="164" fontId="25" fillId="0" borderId="2" xfId="0" applyNumberFormat="1" applyFont="1" applyBorder="1"/>
    <xf numFmtId="14" fontId="5" fillId="0" borderId="8" xfId="0" applyNumberFormat="1" applyFont="1" applyBorder="1" applyAlignment="1">
      <alignment horizontal="center"/>
    </xf>
    <xf numFmtId="0" fontId="4" fillId="0" borderId="20" xfId="0" applyFont="1" applyBorder="1"/>
    <xf numFmtId="169" fontId="5" fillId="0" borderId="0" xfId="48" applyNumberFormat="1" applyFont="1" applyAlignment="1">
      <alignment horizontal="right"/>
    </xf>
    <xf numFmtId="166" fontId="21" fillId="0" borderId="0" xfId="8" applyNumberFormat="1" applyFont="1" applyBorder="1" applyAlignment="1">
      <alignment horizontal="center"/>
    </xf>
    <xf numFmtId="178" fontId="4" fillId="0" borderId="0" xfId="0" applyNumberFormat="1" applyFont="1"/>
    <xf numFmtId="168" fontId="4" fillId="0" borderId="0" xfId="0" applyNumberFormat="1" applyFont="1" applyAlignment="1">
      <alignment horizontal="right"/>
    </xf>
    <xf numFmtId="3" fontId="4" fillId="0" borderId="0" xfId="0" applyNumberFormat="1" applyFont="1" applyAlignment="1">
      <alignment horizontal="center"/>
    </xf>
    <xf numFmtId="10" fontId="4" fillId="0" borderId="0" xfId="0" applyNumberFormat="1" applyFont="1"/>
    <xf numFmtId="179" fontId="4" fillId="0" borderId="0" xfId="48" applyNumberFormat="1" applyFont="1"/>
    <xf numFmtId="179" fontId="4" fillId="0" borderId="0" xfId="0" applyNumberFormat="1" applyFont="1"/>
    <xf numFmtId="14" fontId="4" fillId="0" borderId="0" xfId="8" applyNumberFormat="1" applyFont="1" applyAlignment="1">
      <alignment horizontal="center"/>
    </xf>
    <xf numFmtId="14" fontId="4" fillId="0" borderId="0" xfId="8" applyNumberFormat="1" applyFont="1" applyAlignment="1">
      <alignment horizontal="right"/>
    </xf>
    <xf numFmtId="6" fontId="0" fillId="0" borderId="0" xfId="0" applyNumberFormat="1"/>
    <xf numFmtId="43" fontId="4" fillId="0" borderId="0" xfId="8" applyNumberFormat="1" applyFont="1" applyFill="1" applyBorder="1" applyAlignment="1">
      <alignment horizontal="center"/>
    </xf>
    <xf numFmtId="168" fontId="4" fillId="0" borderId="0" xfId="0" applyNumberFormat="1" applyFont="1" applyAlignment="1">
      <alignment horizontal="center"/>
    </xf>
    <xf numFmtId="44" fontId="4" fillId="0" borderId="0" xfId="8" applyNumberFormat="1" applyFont="1" applyAlignment="1">
      <alignment horizontal="right"/>
    </xf>
    <xf numFmtId="6" fontId="4" fillId="0" borderId="0" xfId="8" applyNumberFormat="1" applyFont="1" applyAlignment="1">
      <alignment horizontal="center"/>
    </xf>
    <xf numFmtId="175" fontId="4" fillId="0" borderId="0" xfId="0" applyNumberFormat="1" applyFont="1"/>
    <xf numFmtId="175" fontId="4" fillId="0" borderId="0" xfId="8" applyNumberFormat="1" applyFont="1"/>
    <xf numFmtId="175" fontId="21" fillId="0" borderId="0" xfId="1" applyNumberFormat="1" applyFont="1"/>
    <xf numFmtId="164" fontId="5" fillId="0" borderId="0" xfId="8" applyNumberFormat="1" applyFont="1" applyFill="1" applyBorder="1" applyAlignment="1">
      <alignment horizontal="right"/>
    </xf>
    <xf numFmtId="44" fontId="5" fillId="0" borderId="6" xfId="0" applyNumberFormat="1" applyFont="1" applyBorder="1" applyAlignment="1">
      <alignment horizontal="right"/>
    </xf>
    <xf numFmtId="9" fontId="4" fillId="0" borderId="0" xfId="48" applyFont="1" applyAlignment="1">
      <alignment horizontal="center"/>
    </xf>
    <xf numFmtId="165" fontId="21" fillId="0" borderId="0" xfId="8" applyFont="1" applyBorder="1" applyAlignment="1">
      <alignment horizontal="left"/>
    </xf>
    <xf numFmtId="180" fontId="4" fillId="0" borderId="0" xfId="0" applyNumberFormat="1" applyFont="1"/>
    <xf numFmtId="2" fontId="4" fillId="0" borderId="0" xfId="8" applyNumberFormat="1" applyFont="1" applyAlignment="1">
      <alignment horizontal="right"/>
    </xf>
    <xf numFmtId="44" fontId="1" fillId="0" borderId="0" xfId="0" applyNumberFormat="1" applyFont="1" applyAlignment="1">
      <alignment horizontal="right"/>
    </xf>
    <xf numFmtId="164" fontId="4" fillId="0" borderId="13" xfId="8" applyNumberFormat="1" applyFont="1" applyFill="1" applyBorder="1" applyAlignment="1">
      <alignment horizontal="center"/>
    </xf>
    <xf numFmtId="42" fontId="4" fillId="0" borderId="14" xfId="0" applyNumberFormat="1" applyFont="1" applyBorder="1" applyAlignment="1">
      <alignment horizontal="center"/>
    </xf>
    <xf numFmtId="168" fontId="4" fillId="0" borderId="9" xfId="0" applyNumberFormat="1" applyFont="1" applyBorder="1" applyAlignment="1">
      <alignment horizontal="center"/>
    </xf>
    <xf numFmtId="42" fontId="4" fillId="0" borderId="9" xfId="0" applyNumberFormat="1" applyFont="1" applyBorder="1" applyAlignment="1">
      <alignment horizontal="center"/>
    </xf>
    <xf numFmtId="42" fontId="4" fillId="0" borderId="28" xfId="0" applyNumberFormat="1" applyFont="1" applyBorder="1" applyAlignment="1">
      <alignment horizontal="center"/>
    </xf>
    <xf numFmtId="42" fontId="4" fillId="0" borderId="0" xfId="8" applyNumberFormat="1" applyFont="1" applyFill="1" applyAlignment="1">
      <alignment horizontal="right"/>
    </xf>
    <xf numFmtId="42" fontId="4" fillId="0" borderId="0" xfId="8" applyNumberFormat="1" applyFont="1" applyFill="1" applyBorder="1" applyAlignment="1">
      <alignment horizontal="center"/>
    </xf>
    <xf numFmtId="14" fontId="0" fillId="0" borderId="0" xfId="48" applyNumberFormat="1" applyFont="1"/>
    <xf numFmtId="0" fontId="26" fillId="0" borderId="0" xfId="0" applyFont="1"/>
    <xf numFmtId="42" fontId="4" fillId="0" borderId="0" xfId="8" applyNumberFormat="1" applyFont="1" applyAlignment="1">
      <alignment horizontal="right"/>
    </xf>
    <xf numFmtId="164" fontId="4" fillId="0" borderId="0" xfId="23" applyNumberFormat="1" applyFont="1" applyFill="1" applyBorder="1" applyAlignment="1">
      <alignment horizontal="center"/>
    </xf>
    <xf numFmtId="9" fontId="4" fillId="0" borderId="0" xfId="48" applyFont="1" applyFill="1" applyBorder="1" applyAlignment="1">
      <alignment horizontal="center"/>
    </xf>
    <xf numFmtId="165" fontId="21" fillId="0" borderId="0" xfId="8" applyFont="1" applyAlignment="1">
      <alignment horizontal="center"/>
    </xf>
    <xf numFmtId="165" fontId="0" fillId="0" borderId="0" xfId="8" applyFont="1" applyAlignment="1">
      <alignment horizontal="right"/>
    </xf>
    <xf numFmtId="164" fontId="4" fillId="2" borderId="0" xfId="8" applyNumberFormat="1" applyFont="1" applyFill="1" applyBorder="1" applyAlignment="1">
      <alignment horizontal="right"/>
    </xf>
    <xf numFmtId="165" fontId="21" fillId="0" borderId="0" xfId="8" applyFont="1" applyFill="1" applyAlignment="1">
      <alignment horizontal="center"/>
    </xf>
    <xf numFmtId="42" fontId="21" fillId="0" borderId="0" xfId="8" applyNumberFormat="1" applyFont="1" applyFill="1" applyBorder="1" applyAlignment="1">
      <alignment horizontal="center"/>
    </xf>
    <xf numFmtId="166" fontId="5" fillId="0" borderId="0" xfId="8" applyNumberFormat="1" applyFont="1"/>
    <xf numFmtId="10" fontId="4" fillId="0" borderId="0" xfId="48" applyNumberFormat="1" applyFont="1" applyAlignment="1">
      <alignment horizontal="right"/>
    </xf>
    <xf numFmtId="164" fontId="4" fillId="0" borderId="11" xfId="0" applyNumberFormat="1" applyFont="1" applyBorder="1"/>
    <xf numFmtId="175" fontId="4" fillId="0" borderId="0" xfId="1" applyNumberFormat="1" applyFont="1" applyFill="1"/>
    <xf numFmtId="166" fontId="4" fillId="0" borderId="0" xfId="8" applyNumberFormat="1" applyFont="1" applyFill="1"/>
    <xf numFmtId="177" fontId="4" fillId="0" borderId="0" xfId="0" applyNumberFormat="1" applyFont="1"/>
    <xf numFmtId="4" fontId="0" fillId="0" borderId="0" xfId="0" applyNumberFormat="1"/>
    <xf numFmtId="44" fontId="25" fillId="0" borderId="2" xfId="0" applyNumberFormat="1" applyFont="1" applyBorder="1" applyAlignment="1">
      <alignment horizontal="center"/>
    </xf>
    <xf numFmtId="0" fontId="27" fillId="0" borderId="0" xfId="0" applyFont="1"/>
    <xf numFmtId="164" fontId="4" fillId="0" borderId="0" xfId="1" applyNumberFormat="1" applyFont="1" applyFill="1" applyBorder="1" applyAlignment="1">
      <alignment horizontal="center"/>
    </xf>
    <xf numFmtId="8" fontId="4" fillId="0" borderId="0" xfId="8" applyNumberFormat="1" applyFont="1" applyFill="1" applyBorder="1" applyAlignment="1">
      <alignment horizontal="center"/>
    </xf>
    <xf numFmtId="166" fontId="0" fillId="0" borderId="0" xfId="8" applyNumberFormat="1" applyFont="1"/>
    <xf numFmtId="165" fontId="5" fillId="0" borderId="6" xfId="0" applyNumberFormat="1" applyFont="1" applyBorder="1" applyAlignment="1">
      <alignment horizontal="right"/>
    </xf>
    <xf numFmtId="44" fontId="5" fillId="0" borderId="19" xfId="0" applyNumberFormat="1" applyFont="1" applyBorder="1" applyAlignment="1">
      <alignment horizontal="right"/>
    </xf>
    <xf numFmtId="173" fontId="4" fillId="0" borderId="0" xfId="8" applyNumberFormat="1" applyFont="1"/>
    <xf numFmtId="173" fontId="4" fillId="0" borderId="0" xfId="0" applyNumberFormat="1" applyFont="1"/>
    <xf numFmtId="165" fontId="5" fillId="0" borderId="4" xfId="0" applyNumberFormat="1" applyFont="1" applyBorder="1" applyAlignment="1">
      <alignment horizontal="right"/>
    </xf>
    <xf numFmtId="0" fontId="4" fillId="0" borderId="0" xfId="0" applyFont="1" applyAlignment="1">
      <alignment horizontal="center" vertical="center"/>
    </xf>
    <xf numFmtId="42" fontId="4" fillId="0" borderId="0" xfId="19" applyNumberFormat="1" applyFont="1" applyBorder="1" applyAlignment="1">
      <alignment horizontal="right"/>
    </xf>
    <xf numFmtId="0" fontId="21" fillId="0" borderId="0" xfId="0" applyFont="1" applyAlignment="1">
      <alignment horizontal="center"/>
    </xf>
    <xf numFmtId="14" fontId="4" fillId="0" borderId="2" xfId="0" applyNumberFormat="1" applyFont="1" applyBorder="1" applyAlignment="1">
      <alignment horizontal="left"/>
    </xf>
    <xf numFmtId="14" fontId="21" fillId="0" borderId="0" xfId="0" applyNumberFormat="1" applyFont="1" applyAlignment="1">
      <alignment horizontal="left"/>
    </xf>
    <xf numFmtId="164" fontId="4" fillId="0" borderId="14" xfId="8" applyNumberFormat="1" applyFont="1" applyBorder="1" applyAlignment="1">
      <alignment horizontal="center"/>
    </xf>
    <xf numFmtId="164" fontId="1" fillId="0" borderId="0" xfId="0" applyNumberFormat="1" applyFont="1"/>
    <xf numFmtId="0" fontId="28" fillId="0" borderId="0" xfId="0" applyFont="1"/>
    <xf numFmtId="14" fontId="4" fillId="0" borderId="0" xfId="8" applyNumberFormat="1" applyFont="1" applyBorder="1" applyAlignment="1">
      <alignment horizontal="center"/>
    </xf>
    <xf numFmtId="181" fontId="0" fillId="0" borderId="0" xfId="0" applyNumberFormat="1" applyAlignment="1">
      <alignment horizontal="right"/>
    </xf>
    <xf numFmtId="181" fontId="0" fillId="0" borderId="0" xfId="0" applyNumberFormat="1"/>
    <xf numFmtId="164" fontId="4" fillId="0" borderId="11" xfId="1" applyNumberFormat="1" applyFont="1" applyBorder="1" applyAlignment="1">
      <alignment horizontal="left"/>
    </xf>
    <xf numFmtId="8" fontId="0" fillId="0" borderId="0" xfId="0" applyNumberFormat="1" applyAlignment="1">
      <alignment horizontal="right"/>
    </xf>
    <xf numFmtId="6" fontId="0" fillId="0" borderId="0" xfId="0" applyNumberFormat="1" applyAlignment="1">
      <alignment horizontal="right"/>
    </xf>
    <xf numFmtId="44" fontId="0" fillId="0" borderId="0" xfId="0" applyNumberFormat="1" applyAlignment="1">
      <alignment horizontal="right"/>
    </xf>
    <xf numFmtId="168" fontId="4" fillId="0" borderId="0" xfId="8" applyNumberFormat="1" applyFont="1" applyFill="1" applyBorder="1" applyAlignment="1">
      <alignment horizontal="center"/>
    </xf>
    <xf numFmtId="0" fontId="16" fillId="0" borderId="1" xfId="0" applyFont="1" applyBorder="1" applyAlignment="1">
      <alignment horizontal="center"/>
    </xf>
    <xf numFmtId="0" fontId="0" fillId="0" borderId="0" xfId="0" applyAlignment="1">
      <alignment horizontal="center"/>
    </xf>
    <xf numFmtId="0" fontId="5" fillId="0" borderId="16" xfId="0" applyFont="1" applyBorder="1" applyAlignment="1">
      <alignment horizontal="center"/>
    </xf>
    <xf numFmtId="0" fontId="5" fillId="0" borderId="16" xfId="0" applyFont="1" applyBorder="1" applyAlignment="1">
      <alignment horizontal="center" vertical="center"/>
    </xf>
    <xf numFmtId="44" fontId="4" fillId="0" borderId="0" xfId="23" applyFont="1" applyFill="1" applyBorder="1" applyAlignment="1">
      <alignment horizontal="center"/>
    </xf>
    <xf numFmtId="164" fontId="4" fillId="0" borderId="11" xfId="0" applyNumberFormat="1" applyFont="1" applyBorder="1" applyAlignment="1">
      <alignment horizontal="center"/>
    </xf>
    <xf numFmtId="14" fontId="4" fillId="0" borderId="2" xfId="8" applyNumberFormat="1" applyFont="1" applyBorder="1" applyAlignment="1">
      <alignment horizontal="center"/>
    </xf>
    <xf numFmtId="42" fontId="4" fillId="0" borderId="11" xfId="8" applyNumberFormat="1" applyFont="1" applyBorder="1" applyAlignment="1">
      <alignment horizontal="center"/>
    </xf>
    <xf numFmtId="164" fontId="4" fillId="0" borderId="0" xfId="8" applyNumberFormat="1" applyFont="1" applyFill="1" applyBorder="1" applyAlignment="1">
      <alignment horizontal="right"/>
    </xf>
    <xf numFmtId="6" fontId="4" fillId="0" borderId="0" xfId="48" applyNumberFormat="1" applyFont="1"/>
    <xf numFmtId="4" fontId="29" fillId="0" borderId="0" xfId="0" applyNumberFormat="1" applyFont="1"/>
    <xf numFmtId="44" fontId="4" fillId="0" borderId="11" xfId="23" applyFont="1" applyFill="1" applyBorder="1" applyAlignment="1">
      <alignment horizontal="center"/>
    </xf>
    <xf numFmtId="43" fontId="4" fillId="0" borderId="0" xfId="1" applyFont="1" applyBorder="1"/>
    <xf numFmtId="44" fontId="21" fillId="0" borderId="0" xfId="0" applyNumberFormat="1" applyFont="1" applyAlignment="1">
      <alignment horizontal="center"/>
    </xf>
    <xf numFmtId="166" fontId="21" fillId="0" borderId="0" xfId="8" applyNumberFormat="1" applyFont="1"/>
    <xf numFmtId="0" fontId="4" fillId="3" borderId="0" xfId="0" applyFont="1" applyFill="1" applyAlignment="1">
      <alignment horizontal="left"/>
    </xf>
    <xf numFmtId="0" fontId="4" fillId="0" borderId="0" xfId="8" applyNumberFormat="1" applyFont="1" applyAlignment="1">
      <alignment horizontal="center"/>
    </xf>
    <xf numFmtId="165" fontId="4" fillId="0" borderId="0" xfId="8" applyFont="1" applyFill="1"/>
    <xf numFmtId="8" fontId="0" fillId="0" borderId="0" xfId="1" applyNumberFormat="1" applyFont="1" applyFill="1"/>
    <xf numFmtId="44" fontId="4" fillId="0" borderId="0" xfId="1" applyNumberFormat="1" applyFont="1" applyFill="1" applyBorder="1" applyAlignment="1">
      <alignment horizontal="center"/>
    </xf>
    <xf numFmtId="164" fontId="5" fillId="0" borderId="9" xfId="8" applyNumberFormat="1" applyFont="1" applyBorder="1" applyAlignment="1">
      <alignment horizontal="center"/>
    </xf>
    <xf numFmtId="0" fontId="30" fillId="0" borderId="0" xfId="0" applyFont="1" applyAlignment="1">
      <alignment horizontal="center"/>
    </xf>
    <xf numFmtId="5" fontId="30" fillId="0" borderId="0" xfId="0" applyNumberFormat="1" applyFont="1" applyAlignment="1">
      <alignment horizontal="center"/>
    </xf>
    <xf numFmtId="164" fontId="30" fillId="0" borderId="0" xfId="8" applyNumberFormat="1" applyFont="1" applyFill="1" applyBorder="1" applyAlignment="1">
      <alignment horizontal="center"/>
    </xf>
    <xf numFmtId="14" fontId="30" fillId="0" borderId="0" xfId="8" applyNumberFormat="1" applyFont="1" applyFill="1" applyBorder="1" applyAlignment="1">
      <alignment horizontal="center"/>
    </xf>
    <xf numFmtId="14" fontId="30" fillId="0" borderId="0" xfId="0" applyNumberFormat="1" applyFont="1" applyAlignment="1">
      <alignment horizontal="center"/>
    </xf>
    <xf numFmtId="168" fontId="30" fillId="0" borderId="0" xfId="8" applyNumberFormat="1" applyFont="1" applyFill="1" applyBorder="1" applyAlignment="1">
      <alignment horizontal="center"/>
    </xf>
    <xf numFmtId="44" fontId="30" fillId="0" borderId="0" xfId="8" applyNumberFormat="1" applyFont="1" applyFill="1" applyBorder="1" applyAlignment="1">
      <alignment horizontal="center"/>
    </xf>
    <xf numFmtId="44" fontId="4" fillId="0" borderId="11" xfId="1" applyNumberFormat="1" applyFont="1" applyFill="1" applyBorder="1" applyAlignment="1">
      <alignment horizontal="center"/>
    </xf>
    <xf numFmtId="168" fontId="30" fillId="0" borderId="0" xfId="0" applyNumberFormat="1" applyFont="1" applyAlignment="1">
      <alignment horizontal="center"/>
    </xf>
    <xf numFmtId="6" fontId="4" fillId="0" borderId="0" xfId="8" applyNumberFormat="1" applyFont="1" applyAlignment="1">
      <alignment horizontal="right"/>
    </xf>
    <xf numFmtId="0" fontId="5" fillId="0" borderId="6" xfId="0" applyFont="1" applyBorder="1" applyAlignment="1">
      <alignment horizontal="right"/>
    </xf>
    <xf numFmtId="165" fontId="5" fillId="0" borderId="0" xfId="0" applyNumberFormat="1" applyFont="1" applyAlignment="1">
      <alignment horizontal="right"/>
    </xf>
    <xf numFmtId="14" fontId="31" fillId="0" borderId="0" xfId="0" applyNumberFormat="1" applyFont="1" applyAlignment="1">
      <alignment horizontal="right"/>
    </xf>
    <xf numFmtId="0" fontId="31" fillId="0" borderId="0" xfId="0" applyFont="1" applyAlignment="1">
      <alignment horizontal="left"/>
    </xf>
    <xf numFmtId="164" fontId="31" fillId="0" borderId="0" xfId="8" applyNumberFormat="1" applyFont="1" applyFill="1" applyBorder="1" applyAlignment="1">
      <alignment horizontal="center"/>
    </xf>
    <xf numFmtId="14" fontId="31" fillId="0" borderId="0" xfId="0" applyNumberFormat="1" applyFont="1" applyAlignment="1">
      <alignment horizontal="left"/>
    </xf>
    <xf numFmtId="0" fontId="31" fillId="0" borderId="0" xfId="0" applyFont="1"/>
    <xf numFmtId="164" fontId="4" fillId="0" borderId="2" xfId="8" applyNumberFormat="1" applyFont="1" applyFill="1" applyBorder="1" applyAlignment="1">
      <alignment horizontal="center"/>
    </xf>
    <xf numFmtId="164" fontId="4" fillId="0" borderId="13" xfId="0" applyNumberFormat="1" applyFont="1" applyBorder="1" applyAlignment="1">
      <alignment horizontal="center"/>
    </xf>
    <xf numFmtId="5" fontId="21" fillId="0" borderId="0" xfId="0" applyNumberFormat="1" applyFont="1" applyAlignment="1">
      <alignment horizontal="center"/>
    </xf>
    <xf numFmtId="14" fontId="21" fillId="0" borderId="0" xfId="0" applyNumberFormat="1" applyFont="1" applyAlignment="1">
      <alignment horizontal="center"/>
    </xf>
    <xf numFmtId="6" fontId="28" fillId="0" borderId="0" xfId="0" applyNumberFormat="1" applyFont="1"/>
    <xf numFmtId="164" fontId="21" fillId="0" borderId="0" xfId="0" applyNumberFormat="1" applyFont="1"/>
    <xf numFmtId="14" fontId="21" fillId="0" borderId="0" xfId="0" applyNumberFormat="1" applyFont="1" applyAlignment="1">
      <alignment horizontal="right"/>
    </xf>
    <xf numFmtId="164" fontId="21" fillId="0" borderId="0" xfId="8" applyNumberFormat="1" applyFont="1" applyFill="1" applyBorder="1" applyAlignment="1">
      <alignment horizontal="left"/>
    </xf>
    <xf numFmtId="168" fontId="4" fillId="0" borderId="0" xfId="8" applyNumberFormat="1" applyFont="1" applyFill="1" applyBorder="1" applyAlignment="1">
      <alignment horizontal="right"/>
    </xf>
    <xf numFmtId="3" fontId="0" fillId="0" borderId="0" xfId="0" applyNumberFormat="1"/>
    <xf numFmtId="164" fontId="0" fillId="0" borderId="0" xfId="0" applyNumberFormat="1" applyAlignment="1">
      <alignment horizontal="right"/>
    </xf>
    <xf numFmtId="14" fontId="5" fillId="3" borderId="0" xfId="0" applyNumberFormat="1" applyFont="1" applyFill="1" applyAlignment="1">
      <alignment horizontal="left"/>
    </xf>
    <xf numFmtId="164" fontId="4" fillId="0" borderId="11" xfId="8" applyNumberFormat="1" applyFont="1" applyFill="1" applyBorder="1" applyAlignment="1">
      <alignment horizontal="center"/>
    </xf>
    <xf numFmtId="164" fontId="21" fillId="0" borderId="0" xfId="8" applyNumberFormat="1" applyFont="1" applyBorder="1" applyAlignment="1">
      <alignment horizontal="center"/>
    </xf>
    <xf numFmtId="164" fontId="5" fillId="0" borderId="26" xfId="8" applyNumberFormat="1" applyFont="1" applyFill="1" applyBorder="1" applyAlignment="1">
      <alignment horizontal="center"/>
    </xf>
    <xf numFmtId="164" fontId="5" fillId="0" borderId="11" xfId="8" applyNumberFormat="1" applyFont="1" applyFill="1" applyBorder="1" applyAlignment="1">
      <alignment horizontal="right"/>
    </xf>
    <xf numFmtId="42" fontId="5" fillId="0" borderId="11" xfId="8" applyNumberFormat="1" applyFont="1" applyFill="1" applyBorder="1" applyAlignment="1">
      <alignment horizontal="center"/>
    </xf>
    <xf numFmtId="44" fontId="22" fillId="0" borderId="11" xfId="0" applyNumberFormat="1" applyFont="1" applyBorder="1" applyAlignment="1">
      <alignment horizontal="center"/>
    </xf>
    <xf numFmtId="164" fontId="5" fillId="0" borderId="11" xfId="8" applyNumberFormat="1" applyFont="1" applyFill="1" applyBorder="1" applyAlignment="1">
      <alignment horizontal="center"/>
    </xf>
    <xf numFmtId="0" fontId="22" fillId="0" borderId="11" xfId="0" applyFont="1" applyBorder="1" applyAlignment="1">
      <alignment horizontal="center"/>
    </xf>
    <xf numFmtId="44" fontId="5" fillId="0" borderId="11" xfId="8" applyNumberFormat="1" applyFont="1" applyFill="1" applyBorder="1" applyAlignment="1">
      <alignment horizontal="center"/>
    </xf>
    <xf numFmtId="14" fontId="5" fillId="0" borderId="11" xfId="0" applyNumberFormat="1" applyFont="1" applyBorder="1" applyAlignment="1">
      <alignment horizontal="left"/>
    </xf>
    <xf numFmtId="0" fontId="5" fillId="0" borderId="11" xfId="0" applyFont="1" applyBorder="1" applyAlignment="1">
      <alignment horizontal="left"/>
    </xf>
    <xf numFmtId="5" fontId="22" fillId="0" borderId="0" xfId="0" applyNumberFormat="1" applyFont="1" applyAlignment="1">
      <alignment horizontal="center"/>
    </xf>
    <xf numFmtId="42" fontId="22" fillId="0" borderId="0" xfId="8" applyNumberFormat="1" applyFont="1" applyFill="1" applyBorder="1" applyAlignment="1">
      <alignment horizontal="center"/>
    </xf>
    <xf numFmtId="14" fontId="22" fillId="0" borderId="0" xfId="0" applyNumberFormat="1" applyFont="1" applyAlignment="1">
      <alignment horizontal="center"/>
    </xf>
    <xf numFmtId="164" fontId="22" fillId="0" borderId="0" xfId="8" applyNumberFormat="1" applyFont="1" applyFill="1" applyBorder="1" applyAlignment="1">
      <alignment horizontal="center"/>
    </xf>
    <xf numFmtId="14" fontId="22" fillId="0" borderId="0" xfId="0" applyNumberFormat="1" applyFont="1" applyAlignment="1">
      <alignment horizontal="left"/>
    </xf>
    <xf numFmtId="44" fontId="5" fillId="0" borderId="0" xfId="8" applyNumberFormat="1" applyFont="1" applyFill="1" applyBorder="1" applyAlignment="1">
      <alignment horizontal="center"/>
    </xf>
    <xf numFmtId="165" fontId="21" fillId="0" borderId="0" xfId="8" applyFont="1" applyAlignment="1">
      <alignment horizontal="left"/>
    </xf>
    <xf numFmtId="44" fontId="22" fillId="0" borderId="0" xfId="8" applyNumberFormat="1" applyFont="1" applyFill="1" applyBorder="1" applyAlignment="1">
      <alignment horizontal="center"/>
    </xf>
    <xf numFmtId="14" fontId="21" fillId="0" borderId="0" xfId="0" applyNumberFormat="1" applyFont="1"/>
    <xf numFmtId="164" fontId="5" fillId="3" borderId="0" xfId="8" applyNumberFormat="1" applyFont="1" applyFill="1" applyBorder="1" applyAlignment="1">
      <alignment horizontal="left"/>
    </xf>
    <xf numFmtId="164" fontId="5" fillId="0" borderId="11" xfId="8" applyNumberFormat="1" applyFont="1" applyFill="1" applyBorder="1" applyAlignment="1">
      <alignment horizontal="left"/>
    </xf>
    <xf numFmtId="14" fontId="5" fillId="3" borderId="11" xfId="0" applyNumberFormat="1" applyFont="1" applyFill="1" applyBorder="1" applyAlignment="1">
      <alignment horizontal="left"/>
    </xf>
    <xf numFmtId="14" fontId="5" fillId="3" borderId="16" xfId="0" applyNumberFormat="1" applyFont="1" applyFill="1" applyBorder="1" applyAlignment="1">
      <alignment horizontal="left"/>
    </xf>
    <xf numFmtId="166" fontId="4" fillId="2" borderId="25" xfId="0" applyNumberFormat="1" applyFont="1" applyFill="1" applyBorder="1" applyAlignment="1">
      <alignment horizontal="center"/>
    </xf>
    <xf numFmtId="0" fontId="22" fillId="0" borderId="0" xfId="0" applyFont="1" applyAlignment="1">
      <alignment horizontal="left"/>
    </xf>
    <xf numFmtId="0" fontId="22" fillId="0" borderId="11" xfId="0" applyFont="1" applyBorder="1" applyAlignment="1">
      <alignment horizontal="left"/>
    </xf>
    <xf numFmtId="0" fontId="4" fillId="4" borderId="0" xfId="0" applyFont="1" applyFill="1" applyAlignment="1">
      <alignment horizontal="center"/>
    </xf>
    <xf numFmtId="5" fontId="4" fillId="4" borderId="0" xfId="0" applyNumberFormat="1" applyFont="1" applyFill="1" applyAlignment="1">
      <alignment horizontal="center"/>
    </xf>
    <xf numFmtId="42" fontId="4" fillId="4" borderId="0" xfId="8" applyNumberFormat="1" applyFont="1" applyFill="1" applyBorder="1" applyAlignment="1">
      <alignment horizontal="center"/>
    </xf>
    <xf numFmtId="164" fontId="4" fillId="4" borderId="0" xfId="8" applyNumberFormat="1" applyFont="1" applyFill="1" applyBorder="1" applyAlignment="1">
      <alignment horizontal="center"/>
    </xf>
    <xf numFmtId="14" fontId="4" fillId="4" borderId="0" xfId="0" applyNumberFormat="1" applyFont="1" applyFill="1" applyAlignment="1">
      <alignment horizontal="center"/>
    </xf>
    <xf numFmtId="0" fontId="4" fillId="0" borderId="11" xfId="0" applyFont="1" applyBorder="1" applyAlignment="1">
      <alignment horizontal="center"/>
    </xf>
    <xf numFmtId="5" fontId="4" fillId="0" borderId="11" xfId="0" applyNumberFormat="1" applyFont="1" applyBorder="1" applyAlignment="1">
      <alignment horizontal="center"/>
    </xf>
    <xf numFmtId="14" fontId="4" fillId="0" borderId="11" xfId="0" applyNumberFormat="1" applyFont="1" applyBorder="1" applyAlignment="1">
      <alignment horizontal="center"/>
    </xf>
    <xf numFmtId="0" fontId="4" fillId="0" borderId="11" xfId="0" applyFont="1" applyBorder="1" applyAlignment="1">
      <alignment horizontal="left"/>
    </xf>
    <xf numFmtId="0" fontId="21" fillId="0" borderId="11" xfId="0" applyFont="1" applyBorder="1" applyAlignment="1">
      <alignment horizontal="center"/>
    </xf>
    <xf numFmtId="14" fontId="4" fillId="3" borderId="0" xfId="0" applyNumberFormat="1" applyFont="1" applyFill="1" applyAlignment="1">
      <alignment horizontal="left"/>
    </xf>
    <xf numFmtId="42" fontId="4" fillId="0" borderId="11" xfId="0" applyNumberFormat="1" applyFont="1" applyBorder="1" applyAlignment="1">
      <alignment horizontal="center"/>
    </xf>
    <xf numFmtId="168" fontId="4" fillId="0" borderId="11" xfId="0" applyNumberFormat="1" applyFont="1" applyBorder="1" applyAlignment="1">
      <alignment horizontal="center"/>
    </xf>
    <xf numFmtId="5" fontId="22" fillId="0" borderId="11" xfId="0" applyNumberFormat="1" applyFont="1" applyBorder="1" applyAlignment="1">
      <alignment horizontal="center"/>
    </xf>
    <xf numFmtId="42" fontId="22" fillId="0" borderId="11" xfId="8" applyNumberFormat="1" applyFont="1" applyFill="1" applyBorder="1" applyAlignment="1">
      <alignment horizontal="center"/>
    </xf>
    <xf numFmtId="164" fontId="22" fillId="0" borderId="11" xfId="8" applyNumberFormat="1" applyFont="1" applyFill="1" applyBorder="1" applyAlignment="1">
      <alignment horizontal="center"/>
    </xf>
    <xf numFmtId="14" fontId="22" fillId="0" borderId="11" xfId="0" applyNumberFormat="1" applyFont="1" applyBorder="1" applyAlignment="1">
      <alignment horizontal="center"/>
    </xf>
    <xf numFmtId="14" fontId="22" fillId="0" borderId="11" xfId="0" applyNumberFormat="1" applyFont="1" applyBorder="1" applyAlignment="1">
      <alignment horizontal="left"/>
    </xf>
    <xf numFmtId="0" fontId="4" fillId="0" borderId="0" xfId="0" applyFont="1" applyFill="1" applyAlignment="1">
      <alignment horizontal="center"/>
    </xf>
    <xf numFmtId="14" fontId="4" fillId="0" borderId="0" xfId="0" applyNumberFormat="1" applyFont="1" applyFill="1" applyAlignment="1">
      <alignment horizontal="center"/>
    </xf>
  </cellXfs>
  <cellStyles count="59">
    <cellStyle name="Comma" xfId="1" builtinId="3"/>
    <cellStyle name="Comma 2" xfId="2" xr:uid="{00000000-0005-0000-0000-000001000000}"/>
    <cellStyle name="Comma 2 2" xfId="3" xr:uid="{00000000-0005-0000-0000-000002000000}"/>
    <cellStyle name="Comma 2 3" xfId="4" xr:uid="{00000000-0005-0000-0000-000003000000}"/>
    <cellStyle name="Comma 2 4" xfId="5" xr:uid="{00000000-0005-0000-0000-000004000000}"/>
    <cellStyle name="Comma 3" xfId="6" xr:uid="{00000000-0005-0000-0000-000005000000}"/>
    <cellStyle name="Comma 4" xfId="7" xr:uid="{00000000-0005-0000-0000-000006000000}"/>
    <cellStyle name="Currency" xfId="8" builtinId="4"/>
    <cellStyle name="Currency 2 2" xfId="9" xr:uid="{00000000-0005-0000-0000-000008000000}"/>
    <cellStyle name="Currency 2 2 2" xfId="10" xr:uid="{00000000-0005-0000-0000-000009000000}"/>
    <cellStyle name="Currency 2 3" xfId="11" xr:uid="{00000000-0005-0000-0000-00000A000000}"/>
    <cellStyle name="Currency 2 4" xfId="12" xr:uid="{00000000-0005-0000-0000-00000B000000}"/>
    <cellStyle name="Currency 3" xfId="13" xr:uid="{00000000-0005-0000-0000-00000C000000}"/>
    <cellStyle name="Currency 4" xfId="14" xr:uid="{00000000-0005-0000-0000-00000D000000}"/>
    <cellStyle name="Currency 4 2" xfId="15" xr:uid="{00000000-0005-0000-0000-00000E000000}"/>
    <cellStyle name="Currency 5" xfId="16" xr:uid="{00000000-0005-0000-0000-00000F000000}"/>
    <cellStyle name="Currency 5 2" xfId="17" xr:uid="{00000000-0005-0000-0000-000010000000}"/>
    <cellStyle name="Currency 6 2" xfId="18" xr:uid="{00000000-0005-0000-0000-000011000000}"/>
    <cellStyle name="Currency 7" xfId="19" xr:uid="{00000000-0005-0000-0000-000012000000}"/>
    <cellStyle name="Currency 7 2" xfId="20" xr:uid="{00000000-0005-0000-0000-000013000000}"/>
    <cellStyle name="Currency 8 2" xfId="21" xr:uid="{00000000-0005-0000-0000-000014000000}"/>
    <cellStyle name="Currency 9" xfId="22" xr:uid="{00000000-0005-0000-0000-000015000000}"/>
    <cellStyle name="Currency_SF" xfId="23" xr:uid="{00000000-0005-0000-0000-000016000000}"/>
    <cellStyle name="Normal" xfId="0" builtinId="0"/>
    <cellStyle name="Normal 10" xfId="24" xr:uid="{00000000-0005-0000-0000-000018000000}"/>
    <cellStyle name="Normal 2" xfId="25" xr:uid="{00000000-0005-0000-0000-000019000000}"/>
    <cellStyle name="Normal 2 2" xfId="26" xr:uid="{00000000-0005-0000-0000-00001A000000}"/>
    <cellStyle name="Normal 2 2 2" xfId="27" xr:uid="{00000000-0005-0000-0000-00001B000000}"/>
    <cellStyle name="Normal 2 3" xfId="28" xr:uid="{00000000-0005-0000-0000-00001C000000}"/>
    <cellStyle name="Normal 2 4" xfId="29" xr:uid="{00000000-0005-0000-0000-00001D000000}"/>
    <cellStyle name="Normal 2 5" xfId="30" xr:uid="{00000000-0005-0000-0000-00001E000000}"/>
    <cellStyle name="Normal 2 6" xfId="31" xr:uid="{00000000-0005-0000-0000-00001F000000}"/>
    <cellStyle name="Normal 2 7" xfId="32" xr:uid="{00000000-0005-0000-0000-000020000000}"/>
    <cellStyle name="Normal 3 2" xfId="33" xr:uid="{00000000-0005-0000-0000-000021000000}"/>
    <cellStyle name="Normal 3 3" xfId="34" xr:uid="{00000000-0005-0000-0000-000022000000}"/>
    <cellStyle name="Normal 4" xfId="35" xr:uid="{00000000-0005-0000-0000-000023000000}"/>
    <cellStyle name="Normal 4 2" xfId="36" xr:uid="{00000000-0005-0000-0000-000024000000}"/>
    <cellStyle name="Normal 5" xfId="37" xr:uid="{00000000-0005-0000-0000-000025000000}"/>
    <cellStyle name="Normal 5 2" xfId="38" xr:uid="{00000000-0005-0000-0000-000026000000}"/>
    <cellStyle name="Normal 6 2" xfId="39" xr:uid="{00000000-0005-0000-0000-000027000000}"/>
    <cellStyle name="Normal 6 3" xfId="40" xr:uid="{00000000-0005-0000-0000-000028000000}"/>
    <cellStyle name="Normal 6 4" xfId="41" xr:uid="{00000000-0005-0000-0000-000029000000}"/>
    <cellStyle name="Normal 6 5" xfId="42" xr:uid="{00000000-0005-0000-0000-00002A000000}"/>
    <cellStyle name="Normal 7 2" xfId="43" xr:uid="{00000000-0005-0000-0000-00002B000000}"/>
    <cellStyle name="Normal 8" xfId="44" xr:uid="{00000000-0005-0000-0000-00002C000000}"/>
    <cellStyle name="Normal 8 2" xfId="45" xr:uid="{00000000-0005-0000-0000-00002D000000}"/>
    <cellStyle name="Normal 8 3" xfId="46" xr:uid="{00000000-0005-0000-0000-00002E000000}"/>
    <cellStyle name="Normal 9" xfId="47" xr:uid="{00000000-0005-0000-0000-00002F000000}"/>
    <cellStyle name="Percent" xfId="48" builtinId="5"/>
    <cellStyle name="Percent 2 2" xfId="49" xr:uid="{00000000-0005-0000-0000-000031000000}"/>
    <cellStyle name="Percent 2 2 2" xfId="50" xr:uid="{00000000-0005-0000-0000-000032000000}"/>
    <cellStyle name="Percent 2 3" xfId="51" xr:uid="{00000000-0005-0000-0000-000033000000}"/>
    <cellStyle name="Percent 2 4" xfId="52" xr:uid="{00000000-0005-0000-0000-000034000000}"/>
    <cellStyle name="Percent 3" xfId="53" xr:uid="{00000000-0005-0000-0000-000035000000}"/>
    <cellStyle name="Percent 4" xfId="54" xr:uid="{00000000-0005-0000-0000-000036000000}"/>
    <cellStyle name="Percent 5" xfId="55" xr:uid="{00000000-0005-0000-0000-000037000000}"/>
    <cellStyle name="Percent 7" xfId="56" xr:uid="{00000000-0005-0000-0000-000038000000}"/>
    <cellStyle name="Percent 8 2" xfId="57" xr:uid="{00000000-0005-0000-0000-000039000000}"/>
    <cellStyle name="Percent 9" xfId="58" xr:uid="{00000000-0005-0000-0000-00003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01"/>
  <sheetViews>
    <sheetView tabSelected="1" zoomScale="110" zoomScaleNormal="110" workbookViewId="0">
      <selection activeCell="C3" sqref="C3"/>
    </sheetView>
  </sheetViews>
  <sheetFormatPr defaultColWidth="9.125" defaultRowHeight="12"/>
  <cols>
    <col min="1" max="1" width="38.625" style="13" customWidth="1"/>
    <col min="2" max="2" width="20" style="34" bestFit="1" customWidth="1"/>
    <col min="3" max="3" width="17.75" style="13" bestFit="1" customWidth="1"/>
    <col min="4" max="4" width="16.125" style="34" bestFit="1" customWidth="1"/>
    <col min="5" max="5" width="15.125" style="34" bestFit="1" customWidth="1"/>
    <col min="6" max="6" width="17.375" style="13" customWidth="1"/>
    <col min="7" max="7" width="16.125" style="13" bestFit="1" customWidth="1"/>
    <col min="8" max="8" width="16.375" style="13" bestFit="1" customWidth="1"/>
    <col min="9" max="9" width="17.75" style="13" bestFit="1" customWidth="1"/>
    <col min="10" max="10" width="16.25" style="13" hidden="1" customWidth="1"/>
    <col min="11" max="11" width="15.125" style="13" bestFit="1" customWidth="1"/>
    <col min="12" max="15" width="9.125" style="13"/>
    <col min="16" max="16" width="18.25" style="13" bestFit="1" customWidth="1"/>
    <col min="17" max="17" width="16.125" style="13" bestFit="1" customWidth="1"/>
    <col min="18" max="18" width="14" style="13" bestFit="1" customWidth="1"/>
    <col min="19" max="19" width="13.875" style="13" bestFit="1" customWidth="1"/>
    <col min="20" max="16384" width="9.125" style="13"/>
  </cols>
  <sheetData>
    <row r="1" spans="1:18">
      <c r="A1" s="208"/>
      <c r="B1" s="150"/>
      <c r="C1" s="49"/>
      <c r="F1" s="49"/>
      <c r="H1" s="100"/>
    </row>
    <row r="2" spans="1:18">
      <c r="G2" s="144"/>
      <c r="H2" s="10"/>
    </row>
    <row r="3" spans="1:18" s="1" customFormat="1">
      <c r="A3" s="43" t="s">
        <v>416</v>
      </c>
      <c r="B3" s="13"/>
      <c r="C3" s="7">
        <v>44632</v>
      </c>
      <c r="D3" s="141"/>
      <c r="E3" s="380"/>
      <c r="F3" s="14"/>
      <c r="G3" s="205"/>
      <c r="H3" s="204"/>
      <c r="I3" s="82"/>
    </row>
    <row r="4" spans="1:18" s="1" customFormat="1">
      <c r="A4" s="208"/>
      <c r="B4" s="13"/>
      <c r="C4" s="166"/>
      <c r="D4" s="166"/>
      <c r="E4" s="166"/>
      <c r="F4" s="166"/>
      <c r="G4" s="166"/>
      <c r="H4" s="166"/>
      <c r="I4" s="166"/>
    </row>
    <row r="5" spans="1:18" s="1" customFormat="1">
      <c r="A5" s="208"/>
      <c r="B5" s="100">
        <f>SUM(C5:I5)</f>
        <v>1</v>
      </c>
      <c r="C5" s="15">
        <v>0.32250000000000001</v>
      </c>
      <c r="D5" s="15">
        <v>0.1</v>
      </c>
      <c r="E5" s="15">
        <v>0.02</v>
      </c>
      <c r="F5" s="207">
        <v>2.6249999999999999E-2</v>
      </c>
      <c r="G5" s="206">
        <v>5.2499999999999998E-2</v>
      </c>
      <c r="H5" s="206">
        <v>0.18375</v>
      </c>
      <c r="I5" s="124">
        <v>0.29499999999999998</v>
      </c>
    </row>
    <row r="6" spans="1:18" s="1" customFormat="1">
      <c r="A6" s="208"/>
      <c r="B6" s="49"/>
      <c r="C6" s="79" t="s">
        <v>56</v>
      </c>
      <c r="D6" s="79" t="s">
        <v>57</v>
      </c>
      <c r="E6" s="79" t="s">
        <v>58</v>
      </c>
      <c r="F6" s="79" t="s">
        <v>59</v>
      </c>
      <c r="G6" s="79" t="s">
        <v>59</v>
      </c>
      <c r="H6" s="79" t="s">
        <v>59</v>
      </c>
      <c r="I6" s="79" t="s">
        <v>60</v>
      </c>
      <c r="J6" s="315" t="s">
        <v>185</v>
      </c>
      <c r="O6" s="326" t="s">
        <v>199</v>
      </c>
      <c r="P6" s="327" t="s">
        <v>201</v>
      </c>
    </row>
    <row r="7" spans="1:18" s="1" customFormat="1">
      <c r="A7" s="43"/>
      <c r="B7" s="89" t="s">
        <v>15</v>
      </c>
      <c r="C7" s="90" t="s">
        <v>33</v>
      </c>
      <c r="D7" s="88" t="s">
        <v>25</v>
      </c>
      <c r="E7" s="88" t="s">
        <v>3</v>
      </c>
      <c r="F7" s="91" t="s">
        <v>52</v>
      </c>
      <c r="G7" s="91" t="s">
        <v>13</v>
      </c>
      <c r="H7" s="91" t="s">
        <v>20</v>
      </c>
      <c r="I7" s="89" t="s">
        <v>16</v>
      </c>
      <c r="J7" s="316" t="s">
        <v>182</v>
      </c>
      <c r="O7" s="328" t="s">
        <v>200</v>
      </c>
      <c r="P7" s="329" t="s">
        <v>202</v>
      </c>
    </row>
    <row r="8" spans="1:18" s="1" customFormat="1">
      <c r="A8" s="149" t="s">
        <v>417</v>
      </c>
      <c r="B8" s="505">
        <f>31709821*135</f>
        <v>4280825835</v>
      </c>
      <c r="C8" s="302">
        <f>ROUND(C5*$B$8,0)</f>
        <v>1380566332</v>
      </c>
      <c r="D8" s="302">
        <f t="shared" ref="D8" si="0">ROUND(D5*$B$8,0)</f>
        <v>428082584</v>
      </c>
      <c r="E8" s="302">
        <f>ROUND(E5*$B$8,0)-1</f>
        <v>85616516</v>
      </c>
      <c r="F8" s="302">
        <f>ROUND(F5*$B$8,0)+1</f>
        <v>112371679</v>
      </c>
      <c r="G8" s="302">
        <f>ROUND(G5*$B$8,0)+1</f>
        <v>224743357</v>
      </c>
      <c r="H8" s="302">
        <f>ROUND(H5*$B$8,0)-1</f>
        <v>786601746</v>
      </c>
      <c r="I8" s="303">
        <f>ROUND(I5*$B$8,0)</f>
        <v>1262843621</v>
      </c>
      <c r="J8" s="317">
        <f>'Aug 15'!E1</f>
        <v>2821786260</v>
      </c>
      <c r="K8" s="9"/>
      <c r="O8" s="86" t="s">
        <v>186</v>
      </c>
      <c r="P8" s="330">
        <v>2.9717172510821135E-2</v>
      </c>
      <c r="Q8" s="166"/>
      <c r="R8" s="82"/>
    </row>
    <row r="9" spans="1:18" s="1" customFormat="1">
      <c r="A9" s="43"/>
      <c r="B9" s="138"/>
      <c r="C9" s="63"/>
      <c r="D9" s="63"/>
      <c r="E9" s="63"/>
      <c r="F9" s="63"/>
      <c r="G9" s="63"/>
      <c r="H9" s="63"/>
      <c r="I9" s="304"/>
      <c r="J9" s="318"/>
      <c r="K9" s="9"/>
      <c r="O9" s="86" t="s">
        <v>187</v>
      </c>
      <c r="P9" s="330">
        <v>1.8840984227241904E-2</v>
      </c>
      <c r="Q9" s="166"/>
      <c r="R9" s="82"/>
    </row>
    <row r="10" spans="1:18" s="1" customFormat="1">
      <c r="A10" s="43" t="s">
        <v>67</v>
      </c>
      <c r="B10" s="138">
        <f>SUM(C10:J10)</f>
        <v>2646492312</v>
      </c>
      <c r="C10" s="63">
        <f>'SC1 MRB'!$J$12</f>
        <v>0</v>
      </c>
      <c r="D10" s="63">
        <f>+'SC2 State Voted'!H10</f>
        <v>100000000</v>
      </c>
      <c r="E10" s="63">
        <f>+'SC3 Small Issue IDBs'!H10</f>
        <v>0</v>
      </c>
      <c r="F10" s="63">
        <f>'SC4 TSAHC'!H10</f>
        <v>16500000</v>
      </c>
      <c r="G10" s="63">
        <f>+'SC4 MF- TDHCA'!H11</f>
        <v>59000000</v>
      </c>
      <c r="H10" s="305">
        <f>'REGION 1'!H10+'REGION 2'!H10+'REGION 3'!H25+'REGION 4'!H10+'REGION 5'!H10+'REGION 6'!H15+'REGION 7'!H12+'REGION 8'!H10+'REGION 9'!H11+'REGION 10'!H10+'REGION 11'!H10+'REGION 12'!H10+'REGION 13'!H10+'SC4 MF- Local Collapse'!H14</f>
        <v>876274039</v>
      </c>
      <c r="I10" s="304">
        <f>'SC5 OTHER'!$H$51</f>
        <v>1594718273</v>
      </c>
      <c r="J10" s="319">
        <f>'Aug 15'!H13</f>
        <v>0</v>
      </c>
      <c r="K10" s="2"/>
      <c r="O10" s="86" t="s">
        <v>188</v>
      </c>
      <c r="P10" s="330">
        <v>0.27601652467507426</v>
      </c>
      <c r="Q10" s="166"/>
      <c r="R10" s="82"/>
    </row>
    <row r="11" spans="1:18" s="1" customFormat="1">
      <c r="B11" s="138"/>
      <c r="C11" s="63"/>
      <c r="D11" s="63"/>
      <c r="E11" s="63"/>
      <c r="F11" s="63"/>
      <c r="G11" s="63"/>
      <c r="H11" s="63"/>
      <c r="I11" s="304"/>
      <c r="J11" s="318"/>
      <c r="K11" s="2"/>
      <c r="O11" s="86" t="s">
        <v>189</v>
      </c>
      <c r="P11" s="330">
        <v>3.9456959143442528E-2</v>
      </c>
      <c r="Q11" s="166"/>
      <c r="R11" s="82"/>
    </row>
    <row r="12" spans="1:18" s="1" customFormat="1">
      <c r="A12" s="1" t="s">
        <v>64</v>
      </c>
      <c r="B12" s="138">
        <f>SUM(C12:J12)</f>
        <v>2646492312</v>
      </c>
      <c r="C12" s="63">
        <f>'SC1 MRB'!$K$12</f>
        <v>0</v>
      </c>
      <c r="D12" s="63">
        <f>+'SC2 State Voted'!I10</f>
        <v>100000000</v>
      </c>
      <c r="E12" s="63">
        <f>+'SC3 Small Issue IDBs'!I10</f>
        <v>0</v>
      </c>
      <c r="F12" s="63">
        <f>'SC4 TSAHC'!I10</f>
        <v>16500000</v>
      </c>
      <c r="G12" s="63">
        <f>'SC4 MF- TDHCA'!I11</f>
        <v>59000000</v>
      </c>
      <c r="H12" s="63">
        <f>'REGION 1'!I10+'REGION 2'!I10+'REGION 3'!I25+'REGION 4'!I10+'REGION 5'!I10+'REGION 6'!I15+'REGION 7'!I12+'REGION 8'!I10+'REGION 9'!I11+'REGION 10'!I10+'REGION 11'!I10+'REGION 12'!I10+'REGION 13'!I10+'SC4 MF- Local Collapse'!I14</f>
        <v>876274039</v>
      </c>
      <c r="I12" s="304">
        <f>'SC5 OTHER'!$I$51</f>
        <v>1594718273</v>
      </c>
      <c r="J12" s="320">
        <f>'Aug 15'!K13</f>
        <v>0</v>
      </c>
      <c r="K12" s="2"/>
      <c r="O12" s="86" t="s">
        <v>190</v>
      </c>
      <c r="P12" s="330">
        <v>2.6372334258747618E-2</v>
      </c>
      <c r="Q12" s="166"/>
      <c r="R12" s="82"/>
    </row>
    <row r="13" spans="1:18" s="1" customFormat="1">
      <c r="B13" s="138"/>
      <c r="C13" s="63"/>
      <c r="D13" s="63"/>
      <c r="E13" s="63"/>
      <c r="F13" s="63"/>
      <c r="G13" s="63"/>
      <c r="H13" s="63"/>
      <c r="I13" s="304"/>
      <c r="J13" s="318"/>
      <c r="K13" s="9"/>
      <c r="O13" s="86" t="s">
        <v>191</v>
      </c>
      <c r="P13" s="330">
        <v>0.25036526215620558</v>
      </c>
      <c r="Q13" s="166"/>
      <c r="R13" s="82"/>
    </row>
    <row r="14" spans="1:18" s="1" customFormat="1">
      <c r="A14" s="1" t="s">
        <v>63</v>
      </c>
      <c r="B14" s="138">
        <f>SUM(C14:J14)</f>
        <v>1241610195</v>
      </c>
      <c r="C14" s="63">
        <f>'SC1 MRB'!N12</f>
        <v>0</v>
      </c>
      <c r="D14" s="63">
        <f>'SC2 State Voted'!L10</f>
        <v>0</v>
      </c>
      <c r="E14" s="63">
        <f>'SC3 Small Issue IDBs'!L10</f>
        <v>0</v>
      </c>
      <c r="F14" s="63">
        <f>'SC4 TSAHC'!L10</f>
        <v>16500000</v>
      </c>
      <c r="G14" s="63">
        <f>'SC4 MF- TDHCA'!L11</f>
        <v>59000000</v>
      </c>
      <c r="H14" s="63">
        <f>'REGION 1'!L10+'REGION 2'!L10+'REGION 3'!L25+'REGION 4'!L10+'REGION 5'!L10+'REGION 6'!L15+'REGION 7'!L12+'REGION 8'!L10+'REGION 9'!L11+'REGION 10'!L10+'REGION 11'!L10+'REGION 12'!L10+'REGION 13'!L10+'SC4 MF- Local Collapse'!L14</f>
        <v>482514039</v>
      </c>
      <c r="I14" s="304">
        <f>'SC5 OTHER'!L51</f>
        <v>683596156</v>
      </c>
      <c r="J14" s="320">
        <f>'Aug 15'!N13</f>
        <v>0</v>
      </c>
      <c r="O14" s="86" t="s">
        <v>192</v>
      </c>
      <c r="P14" s="330">
        <v>8.2586697331200817E-2</v>
      </c>
      <c r="Q14" s="166"/>
      <c r="R14" s="82"/>
    </row>
    <row r="15" spans="1:18" s="1" customFormat="1">
      <c r="B15" s="138"/>
      <c r="C15" s="63"/>
      <c r="D15" s="63"/>
      <c r="E15" s="63"/>
      <c r="F15" s="63"/>
      <c r="G15" s="63"/>
      <c r="H15" s="63"/>
      <c r="I15" s="304"/>
      <c r="J15" s="318"/>
      <c r="K15" s="9"/>
      <c r="O15" s="86" t="s">
        <v>193</v>
      </c>
      <c r="P15" s="330">
        <v>4.3034457629058068E-2</v>
      </c>
      <c r="Q15" s="166"/>
      <c r="R15" s="82"/>
    </row>
    <row r="16" spans="1:18" s="1" customFormat="1">
      <c r="A16" s="1" t="s">
        <v>65</v>
      </c>
      <c r="B16" s="138">
        <f>SUM(C16:J16)</f>
        <v>0</v>
      </c>
      <c r="C16" s="63">
        <f>'SC1 MRB'!$P$12</f>
        <v>0</v>
      </c>
      <c r="D16" s="63">
        <f>+'SC2 State Voted'!N10</f>
        <v>0</v>
      </c>
      <c r="E16" s="63">
        <f>+'SC3 Small Issue IDBs'!N10</f>
        <v>0</v>
      </c>
      <c r="F16" s="63">
        <f>'SC4 TSAHC'!N10</f>
        <v>0</v>
      </c>
      <c r="G16" s="63">
        <f>+'SC4 MF- TDHCA'!N11</f>
        <v>0</v>
      </c>
      <c r="H16" s="63">
        <f>'REGION 1'!N10+'REGION 2'!N10+'REGION 3'!N25+'REGION 4'!N10+'REGION 5'!N10+'REGION 6'!N15+'REGION 7'!N12+'REGION 8'!N10+'REGION 9'!N11+'REGION 10'!N10+'REGION 11'!N10+'REGION 12'!N10+'REGION 13'!N10+'SC4 MF- Local Collapse'!N14</f>
        <v>0</v>
      </c>
      <c r="I16" s="304">
        <f>'SC5 OTHER'!N51</f>
        <v>0</v>
      </c>
      <c r="J16" s="320">
        <f>'Aug 15'!P13</f>
        <v>0</v>
      </c>
      <c r="K16" s="2"/>
      <c r="O16" s="86" t="s">
        <v>194</v>
      </c>
      <c r="P16" s="330">
        <v>9.1628571884412369E-2</v>
      </c>
      <c r="Q16" s="166"/>
      <c r="R16" s="82"/>
    </row>
    <row r="17" spans="1:18" s="1" customFormat="1">
      <c r="B17" s="138"/>
      <c r="C17" s="63"/>
      <c r="D17" s="63"/>
      <c r="E17" s="63"/>
      <c r="F17" s="63"/>
      <c r="G17" s="63"/>
      <c r="H17" s="63"/>
      <c r="I17" s="304"/>
      <c r="J17" s="318"/>
      <c r="K17" s="82"/>
      <c r="O17" s="86" t="s">
        <v>195</v>
      </c>
      <c r="P17" s="330">
        <v>2.66220468645165E-2</v>
      </c>
      <c r="Q17" s="166"/>
      <c r="R17" s="82"/>
    </row>
    <row r="18" spans="1:18" s="1" customFormat="1">
      <c r="A18" s="1" t="s">
        <v>50</v>
      </c>
      <c r="B18" s="138">
        <f>SUM(C18:J18)</f>
        <v>666300000</v>
      </c>
      <c r="C18" s="63">
        <f>'SC1 MRB'!$Q$12</f>
        <v>0</v>
      </c>
      <c r="D18" s="63">
        <f>+'SC2 State Voted'!O10</f>
        <v>100000000</v>
      </c>
      <c r="E18" s="63">
        <f>+'SC3 Small Issue IDBs'!O10</f>
        <v>0</v>
      </c>
      <c r="F18" s="63">
        <f>'SC4 TSAHC'!O10</f>
        <v>0</v>
      </c>
      <c r="G18" s="63">
        <f>+'SC4 MF- TDHCA'!O11</f>
        <v>5000000</v>
      </c>
      <c r="H18" s="63">
        <f>'REGION 1'!O10+'REGION 2'!O10+'REGION 3'!O25+'REGION 4'!O10+'REGION 5'!O10+'REGION 6'!O15+'REGION 7'!O12+'REGION 8'!O10+'REGION 9'!O11+'REGION 10'!O10+'REGION 11'!O10+'REGION 12'!O10+'REGION 13'!O10+'SC4 MF- Local Collapse'!O14</f>
        <v>228500000</v>
      </c>
      <c r="I18" s="304">
        <f>'SC5 OTHER'!O51</f>
        <v>332800000</v>
      </c>
      <c r="J18" s="320">
        <f>'Aug 15'!Q13</f>
        <v>0</v>
      </c>
      <c r="O18" s="86" t="s">
        <v>196</v>
      </c>
      <c r="P18" s="330">
        <v>6.2651787985831778E-2</v>
      </c>
      <c r="Q18" s="166"/>
      <c r="R18" s="82"/>
    </row>
    <row r="19" spans="1:18" s="1" customFormat="1">
      <c r="A19" s="43"/>
      <c r="B19" s="138"/>
      <c r="C19" s="63"/>
      <c r="D19" s="63"/>
      <c r="E19" s="63"/>
      <c r="F19" s="63"/>
      <c r="G19" s="63"/>
      <c r="H19" s="63"/>
      <c r="I19" s="304"/>
      <c r="J19" s="318"/>
      <c r="O19" s="86" t="s">
        <v>197</v>
      </c>
      <c r="P19" s="330">
        <v>2.2214677700729494E-2</v>
      </c>
      <c r="Q19" s="166"/>
      <c r="R19" s="82"/>
    </row>
    <row r="20" spans="1:18" s="1" customFormat="1">
      <c r="A20" s="43" t="s">
        <v>29</v>
      </c>
      <c r="B20" s="138">
        <f>SUM(C20:J20)</f>
        <v>0</v>
      </c>
      <c r="C20" s="63">
        <f>+C10-C12</f>
        <v>0</v>
      </c>
      <c r="D20" s="63">
        <f t="shared" ref="D20:F20" si="1">+D10-D12</f>
        <v>0</v>
      </c>
      <c r="E20" s="63">
        <f t="shared" si="1"/>
        <v>0</v>
      </c>
      <c r="F20" s="63">
        <f t="shared" si="1"/>
        <v>0</v>
      </c>
      <c r="G20" s="63">
        <f>+G10-G12</f>
        <v>0</v>
      </c>
      <c r="H20" s="63">
        <f>+H10-H12</f>
        <v>0</v>
      </c>
      <c r="I20" s="304">
        <f>+I10-I12</f>
        <v>0</v>
      </c>
      <c r="J20" s="320">
        <f>'Aug 15'!H15</f>
        <v>0</v>
      </c>
      <c r="K20" s="9"/>
      <c r="O20" s="331" t="s">
        <v>198</v>
      </c>
      <c r="P20" s="332">
        <v>3.0492523632717979E-2</v>
      </c>
      <c r="Q20" s="166"/>
      <c r="R20" s="82"/>
    </row>
    <row r="21" spans="1:18" s="1" customFormat="1">
      <c r="A21" s="43"/>
      <c r="B21" s="138"/>
      <c r="C21" s="63"/>
      <c r="D21" s="63"/>
      <c r="E21" s="63"/>
      <c r="F21" s="63"/>
      <c r="G21" s="63"/>
      <c r="H21" s="63"/>
      <c r="I21" s="304"/>
      <c r="J21" s="318"/>
      <c r="Q21" s="167"/>
      <c r="R21" s="167"/>
    </row>
    <row r="22" spans="1:18" s="1" customFormat="1">
      <c r="A22" s="48" t="s">
        <v>591</v>
      </c>
      <c r="B22" s="442">
        <f>'Aug 15'!H17</f>
        <v>2821786260</v>
      </c>
      <c r="C22" s="84">
        <f>+C8-C12+C18+'SC1 MRB'!G21</f>
        <v>1380566332</v>
      </c>
      <c r="D22" s="84">
        <f>+D8-D12+D18+'SC2 State Voted'!G18</f>
        <v>428082584</v>
      </c>
      <c r="E22" s="84">
        <f>+E8-E12+E18+'SC3 Small Issue IDBs'!G18</f>
        <v>85616516</v>
      </c>
      <c r="F22" s="84">
        <f>+F8-F12+F18+'SC4 TSAHC'!G18</f>
        <v>112371679</v>
      </c>
      <c r="G22" s="84">
        <f>+G8-G12+G18+'SC4 MF- TDHCA'!G26</f>
        <v>224743357</v>
      </c>
      <c r="H22" s="84">
        <f>H8-H12+H18+SUM('REGION 1'!G19+'REGION 2'!G17+'REGION 3'!G36+'REGION 4'!G17+'REGION 5'!G19+'REGION 6'!G22+'REGION 7'!G21+'REGION 8'!G18+'REGION 9'!G18+'REGION 10'!G17+'REGION 11'!G17+'REGION 12'!G17+'REGION 13'!G17+'SC4 MF- Local Collapse'!G24)</f>
        <v>371827707</v>
      </c>
      <c r="I22" s="306">
        <f>+I8-I12+I18+'SC5 OTHER'!G68</f>
        <v>218578085</v>
      </c>
      <c r="J22" s="323">
        <f>J8-J12+J18+'Aug 15'!G28</f>
        <v>2821786260</v>
      </c>
      <c r="K22" s="9"/>
      <c r="Q22" s="166"/>
    </row>
    <row r="23" spans="1:18" s="1" customFormat="1">
      <c r="A23" s="48"/>
      <c r="B23" s="301"/>
      <c r="C23" s="63"/>
      <c r="D23" s="63"/>
      <c r="E23" s="63"/>
      <c r="F23" s="63"/>
      <c r="G23" s="63"/>
      <c r="H23" s="63"/>
      <c r="I23" s="304"/>
    </row>
    <row r="24" spans="1:18" s="1" customFormat="1">
      <c r="A24" s="48"/>
      <c r="B24" s="138"/>
      <c r="C24" s="63"/>
      <c r="D24" s="63"/>
      <c r="E24" s="63"/>
      <c r="F24" s="63"/>
      <c r="G24" s="63"/>
      <c r="H24" s="63"/>
      <c r="I24" s="304"/>
    </row>
    <row r="25" spans="1:18">
      <c r="A25" s="13" t="s">
        <v>296</v>
      </c>
      <c r="B25" s="492">
        <f>SUM(C25:I25)</f>
        <v>326486202.79999971</v>
      </c>
      <c r="C25" s="63">
        <f>'2023 CF'!M25</f>
        <v>0</v>
      </c>
      <c r="D25" s="63">
        <v>0</v>
      </c>
      <c r="E25" s="63">
        <v>0</v>
      </c>
      <c r="F25" s="63">
        <v>0</v>
      </c>
      <c r="G25" s="63">
        <f>'2023 CF'!M6</f>
        <v>29000000</v>
      </c>
      <c r="H25" s="63">
        <f>'2023 CF'!M9+'2023 CF'!M11+'2023 CF'!M33</f>
        <v>80000000</v>
      </c>
      <c r="I25" s="304">
        <f>'2023 CF'!M10++'2023 CF'!M12+'2023 CF'!M13+'2023 CF'!M28+'2023 CF'!M29+'2023 CF'!M30+'2023 CF'!M31+'2023 CF'!M32</f>
        <v>217486202.79999971</v>
      </c>
    </row>
    <row r="26" spans="1:18">
      <c r="A26" s="13" t="s">
        <v>343</v>
      </c>
      <c r="B26" s="492">
        <f>SUM(C26:I26)</f>
        <v>917247898.33000004</v>
      </c>
      <c r="C26" s="63">
        <f>'2024 CF'!M47</f>
        <v>367635145.46000004</v>
      </c>
      <c r="D26" s="63">
        <v>0</v>
      </c>
      <c r="E26" s="63">
        <v>0</v>
      </c>
      <c r="F26" s="63">
        <v>0</v>
      </c>
      <c r="G26" s="63">
        <f>'2024 CF'!M6+'2024 CF'!M55</f>
        <v>20000000</v>
      </c>
      <c r="H26" s="63">
        <f>'2024 CF'!M9+'2024 CF'!M11+'2024 CF'!M12+'2024 CF'!M52+'2024 CF'!M53+'2024 CF'!M54+'2024 CF'!M56+'2024 CF'!M57+'2024 CF'!M58+'2024 CF'!M59</f>
        <v>232870030</v>
      </c>
      <c r="I26" s="304">
        <f>'2024 CF'!M10+'2024 CF'!M13+'2024 CF'!M14+SUM('2024 CF'!M17:M20)+'2024 CF'!M50+'2024 CF'!M51+'2024 CF'!M60+'2024 CF'!M65</f>
        <v>296742722.87</v>
      </c>
    </row>
    <row r="27" spans="1:18">
      <c r="A27" s="13" t="s">
        <v>421</v>
      </c>
      <c r="B27" s="492">
        <f>SUM(C27:I27)</f>
        <v>2311555976.25</v>
      </c>
      <c r="C27" s="63">
        <f>'2025 CF'!M43</f>
        <v>1756155765.25</v>
      </c>
      <c r="D27" s="63">
        <v>0</v>
      </c>
      <c r="E27" s="63">
        <v>0</v>
      </c>
      <c r="F27" s="63">
        <f>'2025 CF'!M55</f>
        <v>0</v>
      </c>
      <c r="G27" s="63">
        <f>SUM('2025 CF'!M66:M73)</f>
        <v>165500000</v>
      </c>
      <c r="H27" s="63">
        <f>'2025 CF'!M51+'2025 CF'!M52+'2025 CF'!M53+'2025 CF'!M54+'2025 CF'!M60+'2025 CF'!M61+'2025 CF'!M62+'2025 CF'!M63+'2025 CF'!M64+SUM('2025 CF'!M76:M80)+SUM('2025 CF'!M83:M85)+'2025 CF'!J8</f>
        <v>281412737</v>
      </c>
      <c r="I27" s="304">
        <f>SUM('2025 CF'!M46:M50)+SUM('2025 CF'!M56:M59)+'2025 CF'!M65+SUM('2025 CF'!M74:M75)+'2025 CF'!M81+'2025 CF'!M82+'2025 CF'!J9</f>
        <v>108487474</v>
      </c>
    </row>
    <row r="28" spans="1:18">
      <c r="B28" s="403"/>
      <c r="C28" s="63"/>
      <c r="D28" s="63"/>
      <c r="E28" s="63"/>
      <c r="F28" s="63"/>
      <c r="G28" s="63"/>
      <c r="H28" s="63"/>
      <c r="I28" s="304"/>
      <c r="K28" s="49"/>
    </row>
    <row r="29" spans="1:18" ht="12" customHeight="1">
      <c r="B29" s="404">
        <f>SUM(B22:B28)</f>
        <v>6377076337.3799992</v>
      </c>
      <c r="C29" s="405">
        <f>SUM(C22:C28)</f>
        <v>3504357242.71</v>
      </c>
      <c r="D29" s="406">
        <f t="shared" ref="D29:H29" si="2">SUM(D22:D28)</f>
        <v>428082584</v>
      </c>
      <c r="E29" s="406">
        <f t="shared" si="2"/>
        <v>85616516</v>
      </c>
      <c r="F29" s="406">
        <f t="shared" si="2"/>
        <v>112371679</v>
      </c>
      <c r="G29" s="406">
        <f t="shared" si="2"/>
        <v>439243357</v>
      </c>
      <c r="H29" s="406">
        <f t="shared" si="2"/>
        <v>966110474</v>
      </c>
      <c r="I29" s="407">
        <f>SUM(I22:I28)</f>
        <v>841294484.66999972</v>
      </c>
      <c r="K29" s="49"/>
    </row>
    <row r="30" spans="1:18">
      <c r="B30" s="10"/>
      <c r="C30" s="10"/>
      <c r="D30" s="10"/>
      <c r="E30" s="10"/>
      <c r="F30" s="10"/>
      <c r="H30" s="10"/>
      <c r="I30" s="10"/>
      <c r="K30" s="49"/>
    </row>
    <row r="31" spans="1:18" ht="15.6">
      <c r="A31" s="15"/>
      <c r="B31" s="349"/>
      <c r="C31" s="349"/>
      <c r="D31" s="11"/>
      <c r="E31" s="10"/>
      <c r="F31" s="10"/>
      <c r="G31" s="347"/>
      <c r="H31" s="382"/>
      <c r="I31" s="347"/>
    </row>
    <row r="32" spans="1:18" ht="15.6">
      <c r="B32" s="349"/>
      <c r="C32" s="349"/>
      <c r="D32" s="11"/>
      <c r="E32" s="65"/>
      <c r="F32" s="386"/>
      <c r="G32" s="11"/>
      <c r="H32" s="10"/>
      <c r="I32" s="10"/>
    </row>
    <row r="33" spans="1:16" ht="15.6">
      <c r="B33" s="349"/>
      <c r="C33" s="349"/>
      <c r="D33" s="12"/>
      <c r="E33" s="35"/>
      <c r="F33" s="386"/>
      <c r="G33" s="198"/>
      <c r="H33" s="198"/>
      <c r="I33" s="57"/>
    </row>
    <row r="34" spans="1:16" ht="15.6">
      <c r="A34" s="373" t="s">
        <v>262</v>
      </c>
      <c r="B34" s="374">
        <f>ROUND(0.017*$B$8,0)</f>
        <v>72774039</v>
      </c>
      <c r="C34" s="349"/>
      <c r="D34" s="12"/>
      <c r="E34" s="35"/>
      <c r="F34" s="386"/>
      <c r="G34" s="198"/>
      <c r="H34" s="198"/>
      <c r="I34"/>
    </row>
    <row r="35" spans="1:16" ht="15.6">
      <c r="A35" s="373" t="s">
        <v>263</v>
      </c>
      <c r="B35" s="374">
        <f>ROUND(0.034*$B$8,0)</f>
        <v>145548078</v>
      </c>
      <c r="C35" s="349"/>
      <c r="D35" s="198"/>
      <c r="E35" s="35"/>
      <c r="F35" s="198"/>
      <c r="G35" s="198"/>
      <c r="H35" s="198"/>
      <c r="I35" s="257"/>
    </row>
    <row r="36" spans="1:16" ht="15.6">
      <c r="B36" s="349"/>
      <c r="C36" s="349"/>
      <c r="D36" s="13"/>
      <c r="E36" s="257"/>
      <c r="G36"/>
      <c r="H36" s="198"/>
      <c r="I36" s="357"/>
    </row>
    <row r="37" spans="1:16" ht="15.6">
      <c r="B37" s="349"/>
      <c r="C37" s="370"/>
      <c r="D37" s="53"/>
      <c r="E37" s="53"/>
      <c r="F37" s="445"/>
      <c r="G37"/>
      <c r="H37" s="198"/>
      <c r="I37"/>
      <c r="J37" s="369"/>
      <c r="K37" s="369"/>
      <c r="L37" s="369"/>
      <c r="M37" s="369"/>
      <c r="N37" s="369"/>
      <c r="O37" s="369"/>
      <c r="P37" s="369"/>
    </row>
    <row r="38" spans="1:16" ht="15.6">
      <c r="B38" s="349"/>
      <c r="C38" s="349"/>
      <c r="D38" s="49"/>
      <c r="E38" s="94"/>
      <c r="G38"/>
    </row>
    <row r="39" spans="1:16">
      <c r="B39" s="49"/>
      <c r="C39" s="94"/>
      <c r="D39" s="13"/>
      <c r="E39" s="13"/>
      <c r="F39" s="386"/>
      <c r="H39" s="10"/>
    </row>
    <row r="40" spans="1:16">
      <c r="B40" s="13"/>
      <c r="D40" s="97"/>
      <c r="E40" s="13"/>
      <c r="F40" s="386"/>
    </row>
    <row r="41" spans="1:16">
      <c r="B41" s="13"/>
      <c r="D41" s="78"/>
      <c r="E41" s="13"/>
      <c r="F41" s="386"/>
      <c r="H41" s="94"/>
    </row>
    <row r="42" spans="1:16" ht="13.2">
      <c r="B42" s="13"/>
      <c r="C42" s="98"/>
      <c r="D42" s="78"/>
      <c r="E42" s="13"/>
      <c r="F42" s="11"/>
    </row>
    <row r="43" spans="1:16" ht="13.2">
      <c r="B43" s="469"/>
      <c r="C43" s="99"/>
      <c r="D43" s="78"/>
      <c r="E43" s="13"/>
      <c r="F43" s="11"/>
    </row>
    <row r="44" spans="1:16">
      <c r="B44" s="469"/>
      <c r="C44" s="80"/>
      <c r="D44" s="78"/>
      <c r="E44" s="13"/>
    </row>
    <row r="45" spans="1:16">
      <c r="B45" s="13"/>
      <c r="D45" s="13"/>
      <c r="E45" s="13"/>
    </row>
    <row r="46" spans="1:16">
      <c r="B46" s="13"/>
      <c r="D46" s="78"/>
      <c r="E46" s="13"/>
    </row>
    <row r="47" spans="1:16">
      <c r="B47" s="13"/>
      <c r="D47" s="13"/>
      <c r="E47" s="13"/>
      <c r="H47" s="78"/>
    </row>
    <row r="48" spans="1:16">
      <c r="B48" s="13"/>
      <c r="D48" s="13"/>
      <c r="E48" s="13"/>
    </row>
    <row r="49" spans="2:7">
      <c r="B49" s="13"/>
      <c r="D49" s="13"/>
      <c r="E49" s="13"/>
    </row>
    <row r="50" spans="2:7">
      <c r="B50" s="13"/>
      <c r="D50" s="13"/>
      <c r="E50" s="13"/>
    </row>
    <row r="51" spans="2:7">
      <c r="B51" s="13"/>
      <c r="D51" s="13"/>
      <c r="E51" s="13"/>
    </row>
    <row r="52" spans="2:7">
      <c r="B52" s="13"/>
      <c r="D52" s="13"/>
      <c r="E52" s="13"/>
    </row>
    <row r="53" spans="2:7">
      <c r="B53" s="13"/>
      <c r="D53" s="13"/>
      <c r="E53" s="13"/>
    </row>
    <row r="54" spans="2:7">
      <c r="B54" s="49"/>
      <c r="D54" s="13"/>
      <c r="E54" s="13"/>
    </row>
    <row r="55" spans="2:7">
      <c r="B55" s="61"/>
      <c r="D55" s="13"/>
      <c r="E55" s="13"/>
    </row>
    <row r="56" spans="2:7">
      <c r="B56" s="49"/>
      <c r="D56" s="13"/>
      <c r="E56" s="13"/>
    </row>
    <row r="57" spans="2:7">
      <c r="B57" s="49"/>
      <c r="D57" s="13"/>
      <c r="E57" s="13"/>
    </row>
    <row r="58" spans="2:7">
      <c r="B58" s="13"/>
      <c r="D58" s="13"/>
      <c r="E58" s="13"/>
      <c r="F58" s="80"/>
      <c r="G58" s="80"/>
    </row>
    <row r="59" spans="2:7">
      <c r="B59" s="13"/>
      <c r="D59" s="13"/>
      <c r="E59" s="13"/>
    </row>
    <row r="60" spans="2:7">
      <c r="B60" s="13"/>
      <c r="D60" s="13"/>
      <c r="E60" s="13"/>
    </row>
    <row r="61" spans="2:7">
      <c r="B61" s="13"/>
      <c r="D61" s="13"/>
      <c r="E61" s="13"/>
    </row>
    <row r="62" spans="2:7">
      <c r="B62" s="13"/>
      <c r="D62" s="13"/>
      <c r="E62" s="13"/>
    </row>
    <row r="63" spans="2:7">
      <c r="B63" s="13"/>
      <c r="D63" s="13"/>
      <c r="E63" s="13"/>
    </row>
    <row r="64" spans="2:7">
      <c r="B64" s="13"/>
      <c r="D64" s="13"/>
      <c r="E64" s="13"/>
    </row>
    <row r="65" spans="2:9">
      <c r="B65" s="13"/>
      <c r="D65" s="13"/>
      <c r="E65" s="13"/>
    </row>
    <row r="66" spans="2:9">
      <c r="B66" s="13"/>
      <c r="D66" s="13"/>
      <c r="E66" s="13"/>
    </row>
    <row r="67" spans="2:9">
      <c r="B67" s="13"/>
      <c r="D67" s="13"/>
      <c r="E67" s="13"/>
    </row>
    <row r="68" spans="2:9">
      <c r="B68" s="13"/>
      <c r="D68" s="13"/>
      <c r="E68" s="13"/>
    </row>
    <row r="69" spans="2:9">
      <c r="B69" s="13"/>
      <c r="D69" s="13"/>
      <c r="E69" s="13"/>
    </row>
    <row r="70" spans="2:9">
      <c r="B70" s="13"/>
      <c r="D70" s="13"/>
      <c r="E70" s="13"/>
    </row>
    <row r="71" spans="2:9">
      <c r="B71" s="13"/>
      <c r="D71" s="13"/>
      <c r="E71" s="13"/>
    </row>
    <row r="72" spans="2:9">
      <c r="B72" s="13"/>
      <c r="D72" s="13"/>
      <c r="E72" s="13"/>
    </row>
    <row r="73" spans="2:9">
      <c r="B73" s="13"/>
      <c r="D73" s="13"/>
      <c r="E73" s="13"/>
    </row>
    <row r="74" spans="2:9">
      <c r="B74" s="13"/>
      <c r="D74" s="13"/>
      <c r="E74" s="13"/>
      <c r="F74" s="78"/>
      <c r="G74" s="78"/>
    </row>
    <row r="75" spans="2:9">
      <c r="B75" s="13"/>
      <c r="D75" s="61"/>
      <c r="E75" s="61"/>
      <c r="F75" s="61"/>
      <c r="G75" s="61"/>
      <c r="I75" s="80"/>
    </row>
    <row r="76" spans="2:9">
      <c r="B76" s="13"/>
      <c r="D76" s="13"/>
      <c r="E76" s="13"/>
      <c r="F76" s="78"/>
      <c r="G76" s="78"/>
    </row>
    <row r="77" spans="2:9">
      <c r="B77" s="13"/>
      <c r="D77" s="13"/>
      <c r="E77" s="13"/>
      <c r="F77" s="80"/>
      <c r="G77" s="80"/>
    </row>
    <row r="78" spans="2:9">
      <c r="B78" s="13"/>
      <c r="C78" s="8"/>
      <c r="D78" s="13"/>
      <c r="E78" s="13"/>
    </row>
    <row r="79" spans="2:9">
      <c r="B79" s="13"/>
      <c r="D79" s="13"/>
      <c r="E79" s="13"/>
    </row>
    <row r="80" spans="2:9">
      <c r="B80" s="13"/>
      <c r="D80" s="13"/>
      <c r="E80" s="13"/>
    </row>
    <row r="81" s="13" customFormat="1"/>
    <row r="82" s="13" customFormat="1"/>
    <row r="83" s="13" customFormat="1"/>
    <row r="84" s="13" customFormat="1"/>
    <row r="85" s="13" customFormat="1"/>
    <row r="86" s="13" customFormat="1"/>
    <row r="87" s="13" customFormat="1"/>
    <row r="88" s="13" customFormat="1"/>
    <row r="89" s="13" customFormat="1"/>
    <row r="90" s="13" customFormat="1"/>
    <row r="91" s="13" customFormat="1"/>
    <row r="92" s="13" customFormat="1"/>
    <row r="93" s="13" customFormat="1"/>
    <row r="94" s="13" customFormat="1"/>
    <row r="95" s="13" customFormat="1"/>
    <row r="96" s="13" customFormat="1"/>
    <row r="97" s="13" customFormat="1"/>
    <row r="98" s="13" customFormat="1"/>
    <row r="99" s="13" customFormat="1"/>
    <row r="100" s="13" customFormat="1"/>
    <row r="101" s="13" customFormat="1"/>
  </sheetData>
  <phoneticPr fontId="0" type="noConversion"/>
  <pageMargins left="0.05" right="0.05" top="0.75" bottom="0.75" header="0.3" footer="0.3"/>
  <pageSetup scale="88" fitToHeight="0" orientation="landscape" r:id="rId1"/>
  <headerFooter alignWithMargins="0">
    <oddHeader>&amp;C&amp;"Geneva,Bold"&amp;10STATE OF TEXAS
2016 PRIVATE ACTIVITY BOND ALLOCATION PROGRAM</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theme="0" tint="-0.499984740745262"/>
  </sheetPr>
  <dimension ref="A1:V26"/>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8.625" style="13" bestFit="1" customWidth="1"/>
    <col min="5" max="5" width="22.375" style="13" bestFit="1" customWidth="1"/>
    <col min="6" max="6" width="37.75" style="13" bestFit="1" customWidth="1"/>
    <col min="7" max="7" width="11.25" style="13" bestFit="1"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customWidth="1"/>
    <col min="19" max="16384" width="10.875" style="13"/>
  </cols>
  <sheetData>
    <row r="1" spans="1:22" s="17" customFormat="1" ht="11.4">
      <c r="A1" s="16" t="s">
        <v>12</v>
      </c>
      <c r="B1" s="288"/>
      <c r="C1" s="288"/>
      <c r="E1" s="372">
        <f>ROUND(Totals!$H$8*Totals!$P$8, 0)</f>
        <v>23375580</v>
      </c>
      <c r="F1" s="18"/>
      <c r="G1" s="18"/>
      <c r="H1" s="324"/>
      <c r="I1" s="325"/>
      <c r="J1" s="281"/>
      <c r="K1" s="281"/>
      <c r="L1" s="325"/>
      <c r="M1" s="281"/>
      <c r="N1" s="324"/>
      <c r="O1" s="324"/>
      <c r="P1" s="281"/>
      <c r="R1" s="282"/>
      <c r="S1" s="5"/>
      <c r="T1" s="5"/>
      <c r="U1" s="5"/>
      <c r="V1" s="5"/>
    </row>
    <row r="2" spans="1:22" s="5" customFormat="1" ht="11.4">
      <c r="A2" s="25" t="s">
        <v>69</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42"/>
      <c r="N7" s="342"/>
      <c r="O7" s="307"/>
      <c r="P7" s="11"/>
    </row>
    <row r="8" spans="1:22">
      <c r="F8" s="36"/>
      <c r="G8" s="36"/>
      <c r="H8" s="286"/>
      <c r="I8" s="286"/>
      <c r="J8" s="11"/>
      <c r="K8" s="11"/>
      <c r="L8" s="342"/>
      <c r="N8" s="342"/>
      <c r="O8" s="307"/>
      <c r="P8" s="11"/>
    </row>
    <row r="9" spans="1:22">
      <c r="F9" s="36"/>
      <c r="G9" s="36"/>
      <c r="H9" s="286"/>
      <c r="I9" s="286"/>
      <c r="J9" s="11"/>
      <c r="K9" s="11"/>
      <c r="L9" s="342"/>
      <c r="N9" s="342"/>
      <c r="O9" s="307"/>
      <c r="P9" s="11"/>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23375580</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9">
      <c r="D17" s="43"/>
    </row>
    <row r="18" spans="1:9">
      <c r="E18" s="58"/>
      <c r="F18" s="58"/>
      <c r="G18" s="293"/>
      <c r="H18" s="35"/>
    </row>
    <row r="19" spans="1:9">
      <c r="A19" s="43"/>
      <c r="B19" s="43"/>
      <c r="C19" s="43"/>
      <c r="D19" s="43"/>
      <c r="G19" s="291">
        <f>SUM(G16:G18)</f>
        <v>0</v>
      </c>
    </row>
    <row r="20" spans="1:9">
      <c r="E20" s="43"/>
      <c r="F20" s="43"/>
      <c r="G20" s="43"/>
      <c r="H20" s="43"/>
      <c r="I20" s="51"/>
    </row>
    <row r="21" spans="1:9">
      <c r="A21" s="93"/>
      <c r="B21" s="93"/>
      <c r="C21" s="93"/>
      <c r="D21" s="93"/>
    </row>
    <row r="22" spans="1:9">
      <c r="E22" s="93"/>
      <c r="F22" s="93"/>
      <c r="G22" s="93"/>
      <c r="H22" s="93"/>
      <c r="I22" s="117"/>
    </row>
    <row r="23" spans="1:9">
      <c r="A23" s="92"/>
      <c r="B23" s="92"/>
      <c r="C23" s="92"/>
      <c r="D23" s="92"/>
    </row>
    <row r="24" spans="1:9">
      <c r="E24" s="92"/>
      <c r="F24" s="131"/>
      <c r="G24" s="92"/>
      <c r="H24" s="92"/>
    </row>
    <row r="25" spans="1:9">
      <c r="A25" s="92"/>
      <c r="B25" s="92"/>
      <c r="C25" s="92"/>
      <c r="D25" s="92"/>
    </row>
    <row r="26" spans="1:9">
      <c r="E26" s="92"/>
      <c r="F26" s="92"/>
      <c r="G26" s="92"/>
      <c r="H26" s="92"/>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tabColor theme="0" tint="-0.499984740745262"/>
  </sheetPr>
  <dimension ref="A1:V30"/>
  <sheetViews>
    <sheetView zoomScaleNormal="100" workbookViewId="0">
      <pane xSplit="1" ySplit="6" topLeftCell="B7" activePane="bottomRight" state="frozen"/>
      <selection activeCell="K30" sqref="I28:K30"/>
      <selection pane="topRight" activeCell="K30" sqref="I28:K30"/>
      <selection pane="bottomLeft" activeCell="K30" sqref="I28:K30"/>
      <selection pane="bottomRight"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1.625" style="13" customWidth="1"/>
    <col min="6" max="6" width="33.75" style="13" customWidth="1"/>
    <col min="7" max="7" width="12" style="13" customWidth="1"/>
    <col min="8" max="8" width="13.875" style="12" bestFit="1" customWidth="1"/>
    <col min="9" max="9" width="12.7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ROUND(Totals!$H$8*Totals!$P$9, 0)</f>
        <v>14820351</v>
      </c>
      <c r="F1" s="18"/>
      <c r="G1" s="18"/>
      <c r="H1" s="324"/>
      <c r="I1" s="325"/>
      <c r="J1" s="281"/>
      <c r="K1" s="281"/>
      <c r="L1" s="325"/>
      <c r="M1" s="281"/>
      <c r="N1" s="324"/>
      <c r="O1" s="324"/>
      <c r="P1" s="281"/>
      <c r="R1" s="282"/>
      <c r="S1" s="5"/>
      <c r="T1" s="5"/>
      <c r="U1" s="5"/>
      <c r="V1" s="5"/>
    </row>
    <row r="2" spans="1:22" s="5" customFormat="1" ht="11.4">
      <c r="A2" s="25" t="s">
        <v>70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409"/>
      <c r="I7" s="286"/>
      <c r="J7" s="11"/>
      <c r="K7" s="11"/>
      <c r="L7" s="286"/>
      <c r="N7" s="286"/>
      <c r="O7" s="286"/>
      <c r="P7" s="11"/>
      <c r="R7" s="11"/>
    </row>
    <row r="8" spans="1:22">
      <c r="F8" s="36"/>
      <c r="G8" s="36"/>
      <c r="H8" s="409"/>
      <c r="I8" s="286"/>
      <c r="J8" s="11"/>
      <c r="K8" s="11"/>
      <c r="L8" s="286"/>
      <c r="N8" s="286"/>
      <c r="O8" s="286"/>
      <c r="P8" s="11"/>
      <c r="R8" s="11"/>
    </row>
    <row r="9" spans="1:22">
      <c r="F9" s="36"/>
      <c r="G9" s="36"/>
      <c r="H9" s="59"/>
      <c r="I9" s="59"/>
      <c r="J9" s="11"/>
      <c r="K9" s="11"/>
      <c r="L9" s="45"/>
      <c r="N9" s="45"/>
      <c r="O9" s="53"/>
      <c r="P9" s="11"/>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14820351</v>
      </c>
      <c r="I14" s="289"/>
      <c r="J14" s="137"/>
      <c r="L14" s="9"/>
      <c r="M14" s="137"/>
      <c r="Q14" s="13"/>
    </row>
    <row r="15" spans="1:22">
      <c r="D15" s="43"/>
      <c r="L15" s="391"/>
    </row>
    <row r="16" spans="1:22">
      <c r="E16" s="58"/>
      <c r="F16" s="58"/>
      <c r="G16" s="293"/>
      <c r="H16" s="35"/>
    </row>
    <row r="17" spans="1:15">
      <c r="A17" s="43"/>
      <c r="B17" s="43"/>
      <c r="C17" s="43"/>
      <c r="D17" s="43"/>
      <c r="G17" s="292"/>
      <c r="L17" s="13"/>
      <c r="M17" s="13"/>
      <c r="N17" s="13"/>
      <c r="O17" s="13"/>
    </row>
    <row r="18" spans="1:15">
      <c r="E18" s="43"/>
      <c r="F18" s="43"/>
      <c r="G18" s="43"/>
      <c r="H18" s="43"/>
      <c r="I18" s="51"/>
      <c r="L18" s="13"/>
      <c r="M18" s="13"/>
      <c r="N18" s="13"/>
      <c r="O18" s="13"/>
    </row>
    <row r="19" spans="1:15">
      <c r="A19" s="93"/>
      <c r="B19" s="93"/>
      <c r="C19" s="93"/>
      <c r="D19" s="93"/>
      <c r="L19" s="13"/>
      <c r="M19" s="13"/>
      <c r="N19" s="13"/>
      <c r="O19" s="13"/>
    </row>
    <row r="20" spans="1:15">
      <c r="E20" s="93"/>
      <c r="F20" s="93"/>
      <c r="G20" s="93"/>
      <c r="H20" s="93"/>
      <c r="I20" s="117"/>
      <c r="L20" s="13"/>
      <c r="M20" s="13"/>
      <c r="N20" s="13"/>
      <c r="O20" s="13"/>
    </row>
    <row r="21" spans="1:15">
      <c r="A21" s="92"/>
      <c r="B21" s="92"/>
      <c r="C21" s="92"/>
      <c r="D21" s="92"/>
      <c r="L21" s="13"/>
      <c r="M21" s="13"/>
      <c r="N21" s="13"/>
      <c r="O21" s="13"/>
    </row>
    <row r="22" spans="1:15">
      <c r="E22" s="92"/>
      <c r="F22" s="131"/>
      <c r="G22" s="92"/>
      <c r="H22" s="92"/>
      <c r="L22" s="13"/>
      <c r="M22" s="13"/>
      <c r="N22" s="13"/>
      <c r="O22" s="13"/>
    </row>
    <row r="23" spans="1:15">
      <c r="A23" s="92"/>
      <c r="B23" s="92"/>
      <c r="C23" s="92"/>
      <c r="D23" s="92"/>
      <c r="L23" s="13"/>
      <c r="M23" s="13"/>
      <c r="N23" s="13"/>
      <c r="O23" s="13"/>
    </row>
    <row r="24" spans="1:15">
      <c r="E24" s="92"/>
      <c r="F24" s="92"/>
      <c r="G24" s="92"/>
      <c r="H24" s="92"/>
      <c r="L24" s="13"/>
      <c r="M24" s="13"/>
      <c r="N24" s="13"/>
      <c r="O24" s="13"/>
    </row>
    <row r="26" spans="1:15">
      <c r="J26" s="11"/>
      <c r="L26" s="13"/>
      <c r="M26" s="13"/>
      <c r="N26" s="13"/>
      <c r="O26" s="13"/>
    </row>
    <row r="27" spans="1:15">
      <c r="J27" s="11"/>
      <c r="L27" s="13"/>
      <c r="M27" s="13"/>
      <c r="N27" s="13"/>
      <c r="O27" s="13"/>
    </row>
    <row r="28" spans="1:15">
      <c r="J28" s="11"/>
      <c r="L28" s="13"/>
      <c r="M28" s="13"/>
      <c r="N28" s="13"/>
      <c r="O28" s="13"/>
    </row>
    <row r="29" spans="1:15">
      <c r="J29" s="11"/>
      <c r="L29" s="13"/>
      <c r="M29" s="13"/>
      <c r="N29" s="13"/>
      <c r="O29" s="13"/>
    </row>
    <row r="30" spans="1:15">
      <c r="J30" s="11"/>
      <c r="L30" s="13"/>
      <c r="M30" s="13"/>
      <c r="N30" s="13"/>
      <c r="O30" s="13"/>
    </row>
  </sheetData>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tint="-0.499984740745262"/>
  </sheetPr>
  <dimension ref="A1:V42"/>
  <sheetViews>
    <sheetView zoomScaleNormal="100" workbookViewId="0">
      <selection activeCell="H29" sqref="H29"/>
    </sheetView>
  </sheetViews>
  <sheetFormatPr defaultColWidth="10.875" defaultRowHeight="12"/>
  <cols>
    <col min="1" max="1" width="8" style="13" customWidth="1"/>
    <col min="2" max="2" width="6.125" style="13" customWidth="1"/>
    <col min="3" max="3" width="9.25" style="13" bestFit="1" customWidth="1"/>
    <col min="4" max="4" width="13.25" style="13" customWidth="1"/>
    <col min="5" max="5" width="20.25" style="13" customWidth="1"/>
    <col min="6" max="6" width="40.5" style="13" bestFit="1" customWidth="1"/>
    <col min="7" max="7" width="13" style="13" bestFit="1" customWidth="1"/>
    <col min="8" max="8" width="15.25" style="12" bestFit="1" customWidth="1"/>
    <col min="9" max="9" width="14.25" style="41" bestFit="1" customWidth="1"/>
    <col min="10" max="10" width="15.25" style="13" bestFit="1" customWidth="1"/>
    <col min="11" max="11" width="10.875" style="13" bestFit="1" customWidth="1"/>
    <col min="12" max="12" width="12.625" style="60" bestFit="1" customWidth="1"/>
    <col min="13" max="13" width="10.875" style="11" bestFit="1" customWidth="1"/>
    <col min="14" max="14" width="15.25" style="57" customWidth="1"/>
    <col min="15" max="15" width="12.25" style="12" bestFit="1" customWidth="1"/>
    <col min="16" max="16" width="10.625" style="13" bestFit="1" customWidth="1"/>
    <col min="17" max="17" width="10.25" style="13" bestFit="1" customWidth="1"/>
    <col min="18" max="18" width="42.75" style="13" bestFit="1" customWidth="1"/>
    <col min="19" max="19" width="16.75" style="13" bestFit="1" customWidth="1"/>
    <col min="20" max="20" width="14.25" style="13" bestFit="1" customWidth="1"/>
    <col min="21" max="16384" width="10.875" style="13"/>
  </cols>
  <sheetData>
    <row r="1" spans="1:22" s="17" customFormat="1" ht="11.4">
      <c r="A1" s="16" t="s">
        <v>12</v>
      </c>
      <c r="B1" s="288"/>
      <c r="C1" s="288"/>
      <c r="E1" s="372">
        <f>ROUND(Totals!$H$8*Totals!$P$10, 0)</f>
        <v>217115080</v>
      </c>
      <c r="F1" s="18"/>
      <c r="G1" s="18"/>
      <c r="H1" s="324"/>
      <c r="I1" s="325"/>
      <c r="J1" s="281"/>
      <c r="K1" s="281"/>
      <c r="L1" s="325"/>
      <c r="M1" s="281"/>
      <c r="N1" s="324"/>
      <c r="O1" s="324"/>
      <c r="P1" s="281"/>
      <c r="R1" s="282"/>
      <c r="S1" s="5"/>
      <c r="T1" s="5"/>
      <c r="U1" s="5"/>
      <c r="V1" s="5"/>
    </row>
    <row r="2" spans="1:22" s="5" customFormat="1" ht="11.4">
      <c r="A2" s="25" t="s">
        <v>40</v>
      </c>
      <c r="B2" s="48"/>
      <c r="C2" s="48"/>
      <c r="E2" s="26"/>
      <c r="F2" s="26"/>
      <c r="G2" s="26"/>
      <c r="H2" s="46"/>
      <c r="I2" s="47"/>
      <c r="J2" s="6"/>
      <c r="K2" s="6"/>
      <c r="L2" s="47"/>
      <c r="M2" s="6"/>
      <c r="N2" s="46"/>
      <c r="O2" s="46"/>
      <c r="P2" s="6"/>
      <c r="R2" s="283"/>
    </row>
    <row r="3" spans="1:22">
      <c r="A3" s="136"/>
      <c r="H3" s="44"/>
      <c r="I3" s="42"/>
      <c r="J3" s="11"/>
      <c r="K3" s="11"/>
      <c r="L3" s="59"/>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3"/>
      <c r="E6" s="33"/>
      <c r="F6" s="39"/>
      <c r="G6" s="39"/>
      <c r="H6" s="129"/>
      <c r="I6" s="55"/>
      <c r="J6" s="40"/>
      <c r="K6" s="40"/>
      <c r="L6" s="55"/>
      <c r="M6" s="40"/>
      <c r="N6" s="55"/>
      <c r="O6" s="55"/>
      <c r="P6" s="40"/>
      <c r="Q6" s="38"/>
      <c r="R6" s="376" t="s">
        <v>9</v>
      </c>
      <c r="S6" s="13"/>
      <c r="T6" s="13"/>
      <c r="U6" s="13"/>
      <c r="V6" s="13"/>
    </row>
    <row r="7" spans="1:22" s="5" customFormat="1" ht="11.4">
      <c r="A7" s="5">
        <v>13</v>
      </c>
      <c r="B7" s="5">
        <v>18</v>
      </c>
      <c r="C7" s="5">
        <v>5469</v>
      </c>
      <c r="D7" s="5" t="s">
        <v>507</v>
      </c>
      <c r="E7" s="5" t="s">
        <v>432</v>
      </c>
      <c r="F7" s="26" t="s">
        <v>346</v>
      </c>
      <c r="G7" s="26" t="s">
        <v>78</v>
      </c>
      <c r="H7" s="344">
        <v>40000000</v>
      </c>
      <c r="I7" s="341">
        <f>H7</f>
        <v>40000000</v>
      </c>
      <c r="J7" s="6">
        <v>44595</v>
      </c>
      <c r="K7" s="6">
        <f>J7+35</f>
        <v>44630</v>
      </c>
      <c r="L7" s="341">
        <v>40000000</v>
      </c>
      <c r="M7" s="6">
        <f>J7+180</f>
        <v>44775</v>
      </c>
      <c r="N7" s="341"/>
      <c r="O7" s="341"/>
      <c r="P7" s="6"/>
      <c r="Q7" s="5" t="s">
        <v>247</v>
      </c>
      <c r="R7" s="502" t="s">
        <v>535</v>
      </c>
      <c r="S7" s="371" t="s">
        <v>538</v>
      </c>
    </row>
    <row r="8" spans="1:22">
      <c r="A8" s="13">
        <v>14</v>
      </c>
      <c r="B8" s="13">
        <v>19</v>
      </c>
      <c r="C8" s="13" t="s">
        <v>426</v>
      </c>
      <c r="D8" s="13" t="s">
        <v>315</v>
      </c>
      <c r="E8" s="13" t="s">
        <v>97</v>
      </c>
      <c r="F8" s="36" t="s">
        <v>433</v>
      </c>
      <c r="G8" s="36" t="s">
        <v>95</v>
      </c>
      <c r="H8" s="409">
        <v>0</v>
      </c>
      <c r="I8" s="286"/>
      <c r="J8" s="11"/>
      <c r="K8" s="11"/>
      <c r="L8" s="286"/>
      <c r="N8" s="286"/>
      <c r="O8" s="286"/>
      <c r="P8" s="11"/>
      <c r="Q8" s="13" t="s">
        <v>247</v>
      </c>
      <c r="R8" s="92" t="s">
        <v>533</v>
      </c>
    </row>
    <row r="9" spans="1:22">
      <c r="A9" s="13">
        <v>15</v>
      </c>
      <c r="B9" s="13">
        <v>20</v>
      </c>
      <c r="C9" s="13" t="s">
        <v>427</v>
      </c>
      <c r="D9" s="13" t="s">
        <v>315</v>
      </c>
      <c r="E9" s="13" t="s">
        <v>167</v>
      </c>
      <c r="F9" s="36" t="s">
        <v>434</v>
      </c>
      <c r="G9" s="36" t="s">
        <v>168</v>
      </c>
      <c r="H9" s="409">
        <v>0</v>
      </c>
      <c r="I9" s="286"/>
      <c r="J9" s="11"/>
      <c r="K9" s="11"/>
      <c r="L9" s="286"/>
      <c r="N9" s="286"/>
      <c r="O9" s="286"/>
      <c r="P9" s="11"/>
      <c r="Q9" s="13" t="s">
        <v>247</v>
      </c>
      <c r="R9" s="92" t="s">
        <v>547</v>
      </c>
    </row>
    <row r="10" spans="1:22" s="5" customFormat="1" ht="11.4">
      <c r="A10" s="5">
        <v>16</v>
      </c>
      <c r="B10" s="5">
        <v>21</v>
      </c>
      <c r="C10" s="5">
        <v>5478</v>
      </c>
      <c r="D10" s="5" t="s">
        <v>507</v>
      </c>
      <c r="E10" s="5" t="s">
        <v>97</v>
      </c>
      <c r="F10" s="26" t="s">
        <v>385</v>
      </c>
      <c r="G10" s="26" t="s">
        <v>95</v>
      </c>
      <c r="H10" s="344">
        <v>31000000</v>
      </c>
      <c r="I10" s="341">
        <f>H10</f>
        <v>31000000</v>
      </c>
      <c r="J10" s="6">
        <v>44596</v>
      </c>
      <c r="K10" s="6">
        <f>J10+35</f>
        <v>44631</v>
      </c>
      <c r="L10" s="341">
        <v>31000000</v>
      </c>
      <c r="M10" s="6">
        <f>J10+180</f>
        <v>44776</v>
      </c>
      <c r="N10" s="341"/>
      <c r="O10" s="341"/>
      <c r="P10" s="6"/>
      <c r="Q10" s="5" t="s">
        <v>247</v>
      </c>
      <c r="R10" s="502" t="s">
        <v>551</v>
      </c>
    </row>
    <row r="11" spans="1:22" s="5" customFormat="1" ht="11.4">
      <c r="A11" s="5">
        <v>19</v>
      </c>
      <c r="B11" s="5">
        <v>25</v>
      </c>
      <c r="C11" s="5">
        <v>5484</v>
      </c>
      <c r="D11" s="5" t="s">
        <v>507</v>
      </c>
      <c r="E11" s="5" t="s">
        <v>402</v>
      </c>
      <c r="F11" s="26" t="s">
        <v>435</v>
      </c>
      <c r="G11" s="26" t="s">
        <v>398</v>
      </c>
      <c r="H11" s="344">
        <v>72774039</v>
      </c>
      <c r="I11" s="341">
        <f>H11</f>
        <v>72774039</v>
      </c>
      <c r="J11" s="6">
        <v>44597</v>
      </c>
      <c r="K11" s="6">
        <f>J11+35</f>
        <v>44632</v>
      </c>
      <c r="L11" s="341">
        <f>I11</f>
        <v>72774039</v>
      </c>
      <c r="M11" s="6">
        <f>J11+180</f>
        <v>44777</v>
      </c>
      <c r="N11" s="341"/>
      <c r="O11" s="341"/>
      <c r="P11" s="6"/>
      <c r="Q11" s="5" t="s">
        <v>247</v>
      </c>
      <c r="R11" s="502" t="s">
        <v>553</v>
      </c>
    </row>
    <row r="12" spans="1:22" s="5" customFormat="1" ht="11.4">
      <c r="A12" s="5">
        <v>20</v>
      </c>
      <c r="B12" s="5">
        <v>26</v>
      </c>
      <c r="C12" s="5">
        <v>5490</v>
      </c>
      <c r="D12" s="5" t="s">
        <v>507</v>
      </c>
      <c r="E12" s="5" t="s">
        <v>163</v>
      </c>
      <c r="F12" s="26" t="s">
        <v>436</v>
      </c>
      <c r="G12" s="26" t="s">
        <v>164</v>
      </c>
      <c r="H12" s="344">
        <v>55000000</v>
      </c>
      <c r="I12" s="341">
        <f>H12</f>
        <v>55000000</v>
      </c>
      <c r="J12" s="6">
        <v>44601</v>
      </c>
      <c r="K12" s="6">
        <f>J12+35</f>
        <v>44636</v>
      </c>
      <c r="L12" s="341">
        <v>55000000</v>
      </c>
      <c r="M12" s="6">
        <f>J12+180</f>
        <v>44781</v>
      </c>
      <c r="N12" s="341"/>
      <c r="O12" s="341"/>
      <c r="P12" s="6"/>
      <c r="Q12" s="5" t="s">
        <v>247</v>
      </c>
      <c r="R12" s="502" t="s">
        <v>558</v>
      </c>
    </row>
    <row r="13" spans="1:22" s="5" customFormat="1" ht="11.4">
      <c r="A13" s="5">
        <v>21</v>
      </c>
      <c r="B13" s="5">
        <v>27</v>
      </c>
      <c r="C13" s="5">
        <v>5462</v>
      </c>
      <c r="D13" s="5" t="s">
        <v>507</v>
      </c>
      <c r="E13" s="5" t="s">
        <v>250</v>
      </c>
      <c r="F13" s="26" t="s">
        <v>394</v>
      </c>
      <c r="G13" s="26" t="s">
        <v>209</v>
      </c>
      <c r="H13" s="344">
        <v>60000000</v>
      </c>
      <c r="I13" s="341">
        <f>H13</f>
        <v>60000000</v>
      </c>
      <c r="J13" s="6">
        <v>44587</v>
      </c>
      <c r="K13" s="6">
        <f>J13+35</f>
        <v>44622</v>
      </c>
      <c r="L13" s="341">
        <v>60000000</v>
      </c>
      <c r="M13" s="6">
        <f>J13+180</f>
        <v>44767</v>
      </c>
      <c r="N13" s="341"/>
      <c r="O13" s="341"/>
      <c r="P13" s="6"/>
      <c r="Q13" s="5" t="s">
        <v>247</v>
      </c>
      <c r="R13" s="502" t="s">
        <v>521</v>
      </c>
      <c r="S13" s="371" t="s">
        <v>527</v>
      </c>
    </row>
    <row r="14" spans="1:22">
      <c r="A14" s="13">
        <v>24</v>
      </c>
      <c r="B14" s="13">
        <v>29</v>
      </c>
      <c r="C14" s="13" t="s">
        <v>428</v>
      </c>
      <c r="D14" s="13" t="s">
        <v>315</v>
      </c>
      <c r="E14" s="13" t="s">
        <v>249</v>
      </c>
      <c r="F14" s="36" t="s">
        <v>513</v>
      </c>
      <c r="G14" s="36" t="s">
        <v>78</v>
      </c>
      <c r="H14" s="409">
        <v>0</v>
      </c>
      <c r="I14" s="286"/>
      <c r="J14" s="11"/>
      <c r="K14" s="11"/>
      <c r="L14" s="286"/>
      <c r="N14" s="286"/>
      <c r="O14" s="286"/>
      <c r="P14" s="11"/>
      <c r="Q14" s="13" t="s">
        <v>247</v>
      </c>
      <c r="R14" s="92" t="s">
        <v>562</v>
      </c>
    </row>
    <row r="15" spans="1:22">
      <c r="A15" s="13">
        <v>25</v>
      </c>
      <c r="B15" s="13">
        <v>30</v>
      </c>
      <c r="C15" s="13" t="s">
        <v>429</v>
      </c>
      <c r="D15" s="13" t="s">
        <v>315</v>
      </c>
      <c r="E15" s="13" t="s">
        <v>249</v>
      </c>
      <c r="F15" s="36" t="s">
        <v>297</v>
      </c>
      <c r="G15" s="36" t="s">
        <v>78</v>
      </c>
      <c r="H15" s="409">
        <v>0</v>
      </c>
      <c r="I15" s="286"/>
      <c r="J15" s="11"/>
      <c r="K15" s="11"/>
      <c r="L15" s="286"/>
      <c r="N15" s="286"/>
      <c r="O15" s="286"/>
      <c r="P15" s="11"/>
      <c r="Q15" s="13" t="s">
        <v>247</v>
      </c>
      <c r="R15" s="92" t="s">
        <v>576</v>
      </c>
    </row>
    <row r="16" spans="1:22" s="89" customFormat="1" ht="11.4">
      <c r="A16" s="89">
        <v>26</v>
      </c>
      <c r="B16" s="89">
        <v>31</v>
      </c>
      <c r="C16" s="89">
        <v>5509</v>
      </c>
      <c r="D16" s="89" t="s">
        <v>507</v>
      </c>
      <c r="E16" s="89" t="s">
        <v>167</v>
      </c>
      <c r="F16" s="88" t="s">
        <v>437</v>
      </c>
      <c r="G16" s="88" t="s">
        <v>168</v>
      </c>
      <c r="H16" s="507">
        <v>52000000</v>
      </c>
      <c r="I16" s="509">
        <f>H16</f>
        <v>52000000</v>
      </c>
      <c r="J16" s="91">
        <v>44616</v>
      </c>
      <c r="K16" s="91">
        <f>J16+35</f>
        <v>44651</v>
      </c>
      <c r="L16" s="509"/>
      <c r="M16" s="91">
        <f>J16+180</f>
        <v>44796</v>
      </c>
      <c r="N16" s="509"/>
      <c r="O16" s="509"/>
      <c r="P16" s="91"/>
      <c r="Q16" s="89" t="s">
        <v>247</v>
      </c>
      <c r="R16" s="525" t="s">
        <v>583</v>
      </c>
      <c r="S16" s="510" t="s">
        <v>586</v>
      </c>
    </row>
    <row r="17" spans="1:18">
      <c r="A17" s="530">
        <v>27</v>
      </c>
      <c r="B17" s="530">
        <v>33</v>
      </c>
      <c r="C17" s="530" t="s">
        <v>430</v>
      </c>
      <c r="D17" s="530" t="s">
        <v>43</v>
      </c>
      <c r="E17" s="530" t="s">
        <v>249</v>
      </c>
      <c r="F17" s="531" t="s">
        <v>438</v>
      </c>
      <c r="G17" s="531" t="s">
        <v>78</v>
      </c>
      <c r="H17" s="532">
        <v>0</v>
      </c>
      <c r="I17" s="533"/>
      <c r="J17" s="534"/>
      <c r="K17" s="534"/>
      <c r="L17" s="533"/>
      <c r="M17" s="534"/>
      <c r="N17" s="533"/>
      <c r="O17" s="533"/>
      <c r="P17" s="534"/>
      <c r="Q17" s="530" t="s">
        <v>247</v>
      </c>
      <c r="R17" s="92"/>
    </row>
    <row r="18" spans="1:18">
      <c r="A18" s="13">
        <v>28</v>
      </c>
      <c r="B18" s="13">
        <v>34</v>
      </c>
      <c r="C18" s="13" t="s">
        <v>431</v>
      </c>
      <c r="D18" s="13" t="s">
        <v>315</v>
      </c>
      <c r="E18" s="13" t="s">
        <v>249</v>
      </c>
      <c r="F18" s="36" t="s">
        <v>378</v>
      </c>
      <c r="G18" s="36" t="s">
        <v>78</v>
      </c>
      <c r="H18" s="409">
        <v>0</v>
      </c>
      <c r="I18" s="286"/>
      <c r="J18" s="11"/>
      <c r="K18" s="11"/>
      <c r="L18" s="286"/>
      <c r="N18" s="286"/>
      <c r="O18" s="286"/>
      <c r="P18" s="11"/>
      <c r="Q18" s="13" t="s">
        <v>247</v>
      </c>
      <c r="R18" s="92"/>
    </row>
    <row r="19" spans="1:18">
      <c r="A19" s="530">
        <v>34</v>
      </c>
      <c r="B19" s="530">
        <v>38</v>
      </c>
      <c r="C19" s="530" t="s">
        <v>439</v>
      </c>
      <c r="D19" s="530" t="s">
        <v>43</v>
      </c>
      <c r="E19" s="530" t="s">
        <v>97</v>
      </c>
      <c r="F19" s="531" t="s">
        <v>443</v>
      </c>
      <c r="G19" s="531" t="s">
        <v>95</v>
      </c>
      <c r="H19" s="532">
        <v>0</v>
      </c>
      <c r="I19" s="533"/>
      <c r="J19" s="534"/>
      <c r="K19" s="534"/>
      <c r="L19" s="533"/>
      <c r="M19" s="534"/>
      <c r="N19" s="533"/>
      <c r="O19" s="533"/>
      <c r="P19" s="534"/>
      <c r="Q19" s="530" t="s">
        <v>255</v>
      </c>
      <c r="R19" s="92"/>
    </row>
    <row r="20" spans="1:18">
      <c r="A20" s="530">
        <v>35</v>
      </c>
      <c r="B20" s="530">
        <v>39</v>
      </c>
      <c r="C20" s="530" t="s">
        <v>440</v>
      </c>
      <c r="D20" s="530" t="s">
        <v>43</v>
      </c>
      <c r="E20" s="530" t="s">
        <v>249</v>
      </c>
      <c r="F20" s="531" t="s">
        <v>444</v>
      </c>
      <c r="G20" s="531" t="s">
        <v>78</v>
      </c>
      <c r="H20" s="532">
        <v>0</v>
      </c>
      <c r="I20" s="533"/>
      <c r="J20" s="534"/>
      <c r="K20" s="534"/>
      <c r="L20" s="533"/>
      <c r="M20" s="534"/>
      <c r="N20" s="533"/>
      <c r="O20" s="533"/>
      <c r="P20" s="534"/>
      <c r="Q20" s="530" t="s">
        <v>255</v>
      </c>
      <c r="R20" s="92"/>
    </row>
    <row r="21" spans="1:18">
      <c r="A21" s="13">
        <v>36</v>
      </c>
      <c r="B21" s="13">
        <v>40</v>
      </c>
      <c r="C21" s="13" t="s">
        <v>441</v>
      </c>
      <c r="D21" s="13" t="s">
        <v>589</v>
      </c>
      <c r="E21" s="13" t="s">
        <v>249</v>
      </c>
      <c r="F21" s="36" t="s">
        <v>445</v>
      </c>
      <c r="G21" s="36" t="s">
        <v>78</v>
      </c>
      <c r="H21" s="409">
        <v>0</v>
      </c>
      <c r="I21" s="286"/>
      <c r="J21" s="11"/>
      <c r="K21" s="11"/>
      <c r="L21" s="286"/>
      <c r="N21" s="286"/>
      <c r="O21" s="286"/>
      <c r="P21" s="11"/>
      <c r="Q21" s="13" t="s">
        <v>255</v>
      </c>
      <c r="R21" s="92"/>
    </row>
    <row r="22" spans="1:18">
      <c r="A22" s="530">
        <v>50</v>
      </c>
      <c r="B22" s="530">
        <v>50</v>
      </c>
      <c r="C22" s="530" t="s">
        <v>442</v>
      </c>
      <c r="D22" s="530" t="s">
        <v>43</v>
      </c>
      <c r="E22" s="530" t="s">
        <v>250</v>
      </c>
      <c r="F22" s="531" t="s">
        <v>446</v>
      </c>
      <c r="G22" s="531" t="s">
        <v>209</v>
      </c>
      <c r="H22" s="532">
        <v>0</v>
      </c>
      <c r="I22" s="533"/>
      <c r="J22" s="534"/>
      <c r="K22" s="534"/>
      <c r="L22" s="533"/>
      <c r="M22" s="534"/>
      <c r="N22" s="533"/>
      <c r="O22" s="533"/>
      <c r="P22" s="534"/>
      <c r="Q22" s="530" t="s">
        <v>255</v>
      </c>
      <c r="R22" s="92"/>
    </row>
    <row r="23" spans="1:18">
      <c r="A23" s="530" t="s">
        <v>146</v>
      </c>
      <c r="B23" s="530" t="s">
        <v>146</v>
      </c>
      <c r="C23" s="530" t="s">
        <v>506</v>
      </c>
      <c r="D23" s="530" t="s">
        <v>43</v>
      </c>
      <c r="E23" s="530" t="s">
        <v>249</v>
      </c>
      <c r="F23" s="531" t="s">
        <v>514</v>
      </c>
      <c r="G23" s="531" t="s">
        <v>78</v>
      </c>
      <c r="H23" s="532">
        <v>0</v>
      </c>
      <c r="I23" s="533"/>
      <c r="J23" s="534"/>
      <c r="K23" s="534"/>
      <c r="L23" s="533"/>
      <c r="M23" s="534"/>
      <c r="N23" s="533"/>
      <c r="O23" s="533"/>
      <c r="P23" s="534"/>
      <c r="Q23" s="530" t="s">
        <v>255</v>
      </c>
      <c r="R23" s="92"/>
    </row>
    <row r="24" spans="1:18">
      <c r="F24" s="36"/>
      <c r="G24" s="36"/>
      <c r="H24" s="409"/>
      <c r="I24" s="286"/>
      <c r="J24" s="11"/>
      <c r="K24" s="11"/>
      <c r="L24" s="286"/>
      <c r="N24" s="286"/>
      <c r="O24" s="286"/>
      <c r="P24" s="11"/>
      <c r="R24" s="92"/>
    </row>
    <row r="25" spans="1:18">
      <c r="A25" s="43"/>
      <c r="B25" s="43"/>
      <c r="C25" s="43"/>
      <c r="D25" s="43"/>
      <c r="E25" s="1"/>
      <c r="F25" s="13" t="s">
        <v>19</v>
      </c>
      <c r="H25" s="261">
        <f>SUM(H7:H24)</f>
        <v>310774039</v>
      </c>
      <c r="I25" s="261">
        <f>SUM(I7:I24)</f>
        <v>310774039</v>
      </c>
      <c r="J25" s="10"/>
      <c r="K25" s="10"/>
      <c r="L25" s="261">
        <f>SUM(L7:L24)</f>
        <v>258774039</v>
      </c>
      <c r="M25" s="10"/>
      <c r="N25" s="261">
        <f>SUM(N7:N24)</f>
        <v>0</v>
      </c>
      <c r="O25" s="261">
        <f>SUM(O7:O24)</f>
        <v>0</v>
      </c>
    </row>
    <row r="26" spans="1:18" s="1" customFormat="1">
      <c r="A26" s="5"/>
      <c r="B26" s="5"/>
      <c r="C26" s="5"/>
      <c r="D26" s="87"/>
      <c r="F26" s="13"/>
      <c r="H26" s="76"/>
      <c r="J26" s="11"/>
      <c r="K26" s="11"/>
      <c r="L26" s="9"/>
      <c r="M26" s="6"/>
      <c r="Q26" s="13"/>
    </row>
    <row r="27" spans="1:18" s="1" customFormat="1">
      <c r="A27" s="5"/>
      <c r="B27" s="5"/>
      <c r="C27" s="5"/>
      <c r="E27" s="5"/>
      <c r="F27" s="13" t="s">
        <v>43</v>
      </c>
      <c r="G27" s="5"/>
      <c r="H27" s="34">
        <f>H25-I25</f>
        <v>0</v>
      </c>
      <c r="I27" s="9"/>
      <c r="L27" s="9"/>
      <c r="Q27" s="13"/>
    </row>
    <row r="28" spans="1:18" s="1" customFormat="1">
      <c r="A28" s="5"/>
      <c r="B28" s="5"/>
      <c r="C28" s="5"/>
      <c r="E28" s="5"/>
      <c r="G28" s="5"/>
      <c r="H28" s="67"/>
      <c r="I28" s="9"/>
      <c r="K28" s="137"/>
      <c r="L28" s="9"/>
      <c r="M28" s="3"/>
      <c r="N28" s="8"/>
      <c r="Q28" s="13"/>
    </row>
    <row r="29" spans="1:18" s="1" customFormat="1">
      <c r="A29" s="5"/>
      <c r="B29" s="5"/>
      <c r="C29" s="5"/>
      <c r="E29" s="132"/>
      <c r="F29" s="58" t="s">
        <v>10</v>
      </c>
      <c r="G29" s="5"/>
      <c r="H29" s="77">
        <f>E1-I25+O25+G36</f>
        <v>10341041</v>
      </c>
      <c r="I29" s="289"/>
      <c r="J29" s="137"/>
      <c r="L29" s="166"/>
      <c r="M29" s="3"/>
      <c r="N29" s="2"/>
      <c r="Q29" s="13"/>
    </row>
    <row r="30" spans="1:18">
      <c r="D30" s="43"/>
      <c r="F30" s="58"/>
      <c r="H30" s="27"/>
      <c r="I30" s="96"/>
      <c r="L30" s="51"/>
      <c r="N30" s="356"/>
    </row>
    <row r="31" spans="1:18">
      <c r="D31" s="43"/>
      <c r="F31" s="58"/>
      <c r="H31" s="27"/>
      <c r="I31" s="462"/>
      <c r="N31" s="191"/>
    </row>
    <row r="32" spans="1:18">
      <c r="D32" s="43"/>
      <c r="F32" s="58"/>
      <c r="H32" s="27"/>
      <c r="I32" s="462"/>
      <c r="J32" s="11"/>
      <c r="L32" s="391"/>
      <c r="N32" s="12"/>
    </row>
    <row r="33" spans="1:14">
      <c r="C33" s="13">
        <v>5441</v>
      </c>
      <c r="D33" s="13" t="s">
        <v>77</v>
      </c>
      <c r="E33" s="13" t="s">
        <v>250</v>
      </c>
      <c r="F33" s="36" t="s">
        <v>94</v>
      </c>
      <c r="G33" s="286">
        <v>60000000</v>
      </c>
      <c r="H33" s="498" t="s">
        <v>526</v>
      </c>
      <c r="N33" s="12"/>
    </row>
    <row r="34" spans="1:14">
      <c r="C34" s="13">
        <v>5444</v>
      </c>
      <c r="D34" s="13" t="s">
        <v>77</v>
      </c>
      <c r="E34" s="13" t="s">
        <v>249</v>
      </c>
      <c r="F34" s="36" t="s">
        <v>94</v>
      </c>
      <c r="G34" s="286">
        <v>40000000</v>
      </c>
      <c r="H34" s="498" t="s">
        <v>536</v>
      </c>
      <c r="N34" s="12"/>
    </row>
    <row r="35" spans="1:14">
      <c r="C35" s="13">
        <v>5095</v>
      </c>
      <c r="D35" s="13" t="s">
        <v>77</v>
      </c>
      <c r="E35" s="13" t="s">
        <v>167</v>
      </c>
      <c r="F35" s="36" t="s">
        <v>94</v>
      </c>
      <c r="G35" s="503">
        <v>4000000</v>
      </c>
      <c r="H35" s="498" t="s">
        <v>585</v>
      </c>
      <c r="N35" s="12"/>
    </row>
    <row r="36" spans="1:14">
      <c r="E36" s="43"/>
      <c r="F36" s="43"/>
      <c r="G36" s="294">
        <f>SUM(G33:G35)</f>
        <v>104000000</v>
      </c>
      <c r="H36" s="165"/>
      <c r="I36" s="51"/>
      <c r="J36" s="11"/>
    </row>
    <row r="37" spans="1:14">
      <c r="A37" s="93"/>
      <c r="B37" s="93"/>
      <c r="C37" s="93"/>
      <c r="D37" s="93"/>
      <c r="J37" s="11"/>
    </row>
    <row r="38" spans="1:14">
      <c r="E38" s="93"/>
      <c r="F38" s="93"/>
      <c r="G38" s="93"/>
      <c r="H38" s="93"/>
      <c r="I38" s="117"/>
      <c r="J38" s="11"/>
    </row>
    <row r="39" spans="1:14">
      <c r="A39" s="92"/>
      <c r="B39" s="92"/>
      <c r="C39" s="92"/>
      <c r="D39" s="92"/>
    </row>
    <row r="40" spans="1:14">
      <c r="E40" s="92"/>
      <c r="F40" s="131"/>
      <c r="G40" s="92"/>
      <c r="H40" s="131"/>
    </row>
    <row r="41" spans="1:14">
      <c r="A41" s="92"/>
      <c r="B41" s="92"/>
      <c r="C41" s="92"/>
      <c r="D41" s="92"/>
      <c r="N41" s="12"/>
    </row>
    <row r="42" spans="1:14">
      <c r="E42" s="92"/>
      <c r="F42" s="92"/>
      <c r="G42" s="92"/>
      <c r="H42" s="92"/>
    </row>
  </sheetData>
  <phoneticPr fontId="0" type="noConversion"/>
  <pageMargins left="0.75" right="0.75" top="1" bottom="1" header="0.5" footer="0.5"/>
  <pageSetup scale="75" fitToWidth="2" fitToHeight="3" orientation="landscape" horizontalDpi="4294967292" verticalDpi="4294967292" r:id="rId1"/>
  <headerFooter alignWithMargins="0"/>
  <colBreaks count="1" manualBreakCount="1">
    <brk id="1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0">
    <tabColor theme="0" tint="-0.499984740745262"/>
  </sheetPr>
  <dimension ref="A1:V20"/>
  <sheetViews>
    <sheetView zoomScaleNormal="100" workbookViewId="0">
      <selection activeCell="H14" sqref="H14"/>
    </sheetView>
  </sheetViews>
  <sheetFormatPr defaultColWidth="10.875" defaultRowHeight="12"/>
  <cols>
    <col min="1" max="1" width="9.25" style="13" customWidth="1"/>
    <col min="2" max="2" width="7.125" style="13" bestFit="1" customWidth="1"/>
    <col min="3" max="3" width="10.125" style="13" bestFit="1" customWidth="1"/>
    <col min="4" max="4" width="12.25" style="13" bestFit="1" customWidth="1"/>
    <col min="5" max="5" width="25.625" style="13" customWidth="1"/>
    <col min="6" max="6" width="27.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9" style="13" customWidth="1"/>
    <col min="19" max="16384" width="10.875" style="13"/>
  </cols>
  <sheetData>
    <row r="1" spans="1:22" s="17" customFormat="1" ht="11.4">
      <c r="A1" s="16" t="s">
        <v>12</v>
      </c>
      <c r="B1" s="288"/>
      <c r="C1" s="288"/>
      <c r="E1" s="372">
        <f>ROUND(Totals!$H$8*Totals!$P$11, 0)</f>
        <v>31036913</v>
      </c>
      <c r="F1" s="18"/>
      <c r="G1" s="18"/>
      <c r="H1" s="324"/>
      <c r="I1" s="325"/>
      <c r="J1" s="281"/>
      <c r="K1" s="281"/>
      <c r="L1" s="325"/>
      <c r="M1" s="281"/>
      <c r="N1" s="324"/>
      <c r="O1" s="324"/>
      <c r="P1" s="281"/>
      <c r="R1" s="282"/>
      <c r="S1" s="5"/>
      <c r="T1" s="5"/>
      <c r="U1" s="5"/>
      <c r="V1" s="5"/>
    </row>
    <row r="2" spans="1:22" s="5" customFormat="1" ht="11.4">
      <c r="A2" s="25" t="s">
        <v>71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491"/>
      <c r="J7" s="11"/>
      <c r="K7" s="11"/>
      <c r="L7" s="491"/>
      <c r="M7" s="11"/>
      <c r="N7" s="286"/>
      <c r="O7" s="307"/>
      <c r="P7" s="11"/>
      <c r="R7" s="440"/>
    </row>
    <row r="8" spans="1:22">
      <c r="F8" s="36"/>
      <c r="G8" s="36"/>
      <c r="H8" s="286"/>
      <c r="I8" s="286"/>
      <c r="J8" s="11"/>
      <c r="K8" s="11"/>
      <c r="L8" s="286"/>
      <c r="M8" s="11"/>
      <c r="N8" s="286"/>
      <c r="O8" s="307"/>
      <c r="P8" s="11"/>
      <c r="R8" s="92"/>
    </row>
    <row r="9" spans="1:22">
      <c r="F9" s="36"/>
      <c r="G9" s="36"/>
      <c r="H9" s="286"/>
      <c r="I9" s="286"/>
      <c r="J9" s="11"/>
      <c r="K9" s="11"/>
      <c r="L9" s="286"/>
      <c r="M9" s="11"/>
      <c r="N9" s="342"/>
      <c r="O9" s="352"/>
      <c r="P9" s="11"/>
      <c r="R9" s="43"/>
    </row>
    <row r="10" spans="1:22">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82"/>
      <c r="M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+E1-I10+O10+G17</f>
        <v>31036913</v>
      </c>
      <c r="I14" s="289"/>
      <c r="J14" s="137"/>
      <c r="L14" s="9"/>
      <c r="M14" s="137"/>
      <c r="Q14" s="13"/>
    </row>
    <row r="15" spans="1:22">
      <c r="A15" s="43"/>
      <c r="B15" s="43"/>
      <c r="C15" s="43"/>
      <c r="D15" s="1"/>
      <c r="E15" s="1"/>
      <c r="F15" s="1"/>
      <c r="G15" s="1"/>
      <c r="H15" s="76"/>
    </row>
    <row r="16" spans="1:22">
      <c r="H16" s="65"/>
    </row>
    <row r="17" spans="7:13">
      <c r="G17" s="295"/>
      <c r="H17" s="65"/>
    </row>
    <row r="18" spans="7:13">
      <c r="H18" s="65"/>
    </row>
    <row r="19" spans="7:13">
      <c r="M19" s="11"/>
    </row>
    <row r="20" spans="7:13">
      <c r="M20" s="11"/>
    </row>
  </sheetData>
  <phoneticPr fontId="3" type="noConversion"/>
  <pageMargins left="0.75" right="0.75" top="1" bottom="1" header="0.5" footer="0.5"/>
  <pageSetup scale="5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theme="0" tint="-0.499984740745262"/>
  </sheetPr>
  <dimension ref="A1:V21"/>
  <sheetViews>
    <sheetView zoomScaleNormal="100" workbookViewId="0">
      <selection activeCell="H14" sqref="H14"/>
    </sheetView>
  </sheetViews>
  <sheetFormatPr defaultColWidth="10.875" defaultRowHeight="12"/>
  <cols>
    <col min="1" max="1" width="9.625" style="13" customWidth="1"/>
    <col min="2" max="2" width="7.125" style="13" bestFit="1" customWidth="1"/>
    <col min="3" max="3" width="10.125" style="13" bestFit="1" customWidth="1"/>
    <col min="4" max="4" width="11" style="13" bestFit="1" customWidth="1"/>
    <col min="5" max="5" width="23.625" style="13" customWidth="1"/>
    <col min="6" max="6" width="33.7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43.75" style="13" bestFit="1" customWidth="1"/>
    <col min="19" max="19" width="13.25" style="13" bestFit="1" customWidth="1"/>
    <col min="20" max="16384" width="10.875" style="13"/>
  </cols>
  <sheetData>
    <row r="1" spans="1:22" s="17" customFormat="1" ht="11.4">
      <c r="A1" s="16" t="s">
        <v>12</v>
      </c>
      <c r="B1" s="288"/>
      <c r="C1" s="288"/>
      <c r="E1" s="372">
        <f>ROUND(Totals!$H$8*Totals!$P$12, 0)</f>
        <v>20744524</v>
      </c>
      <c r="F1" s="18"/>
      <c r="G1" s="18"/>
      <c r="H1" s="324"/>
      <c r="I1" s="325"/>
      <c r="J1" s="281"/>
      <c r="K1" s="281"/>
      <c r="L1" s="325"/>
      <c r="M1" s="281"/>
      <c r="N1" s="324"/>
      <c r="O1" s="324"/>
      <c r="P1" s="281"/>
      <c r="R1" s="282"/>
      <c r="S1" s="5"/>
      <c r="T1" s="5"/>
      <c r="U1" s="5"/>
      <c r="V1" s="5"/>
    </row>
    <row r="2" spans="1:22" s="5" customFormat="1" ht="11.4">
      <c r="A2" s="25" t="s">
        <v>66</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t="s">
        <v>146</v>
      </c>
      <c r="B7" s="89" t="s">
        <v>146</v>
      </c>
      <c r="C7" s="89">
        <v>5510</v>
      </c>
      <c r="D7" s="89" t="s">
        <v>507</v>
      </c>
      <c r="E7" s="89" t="s">
        <v>577</v>
      </c>
      <c r="F7" s="88" t="s">
        <v>578</v>
      </c>
      <c r="G7" s="88" t="s">
        <v>348</v>
      </c>
      <c r="H7" s="509">
        <v>18000000</v>
      </c>
      <c r="I7" s="509">
        <f>H7</f>
        <v>18000000</v>
      </c>
      <c r="J7" s="91">
        <v>44616</v>
      </c>
      <c r="K7" s="91">
        <f>J7+35</f>
        <v>44651</v>
      </c>
      <c r="L7" s="509"/>
      <c r="M7" s="91">
        <f>J7+180</f>
        <v>44796</v>
      </c>
      <c r="N7" s="509"/>
      <c r="O7" s="509"/>
      <c r="P7" s="91"/>
      <c r="Q7" s="89" t="s">
        <v>226</v>
      </c>
      <c r="R7" s="526" t="s">
        <v>584</v>
      </c>
      <c r="S7" s="510" t="s">
        <v>588</v>
      </c>
    </row>
    <row r="8" spans="1:22">
      <c r="F8" s="36"/>
      <c r="G8" s="36"/>
      <c r="H8" s="286"/>
      <c r="I8" s="286"/>
      <c r="J8" s="11"/>
      <c r="K8" s="11"/>
      <c r="L8" s="342"/>
      <c r="M8" s="11"/>
      <c r="N8" s="342"/>
      <c r="O8" s="307"/>
      <c r="P8" s="11"/>
    </row>
    <row r="9" spans="1:22">
      <c r="F9" s="36"/>
      <c r="G9" s="36"/>
      <c r="H9" s="27"/>
      <c r="I9" s="27"/>
      <c r="J9" s="11"/>
      <c r="K9" s="11"/>
      <c r="L9" s="45"/>
      <c r="M9" s="11"/>
      <c r="N9" s="45"/>
      <c r="O9" s="53"/>
      <c r="P9" s="11"/>
    </row>
    <row r="10" spans="1:22">
      <c r="A10" s="43"/>
      <c r="B10" s="43"/>
      <c r="C10" s="43"/>
      <c r="D10" s="43"/>
      <c r="E10" s="1"/>
      <c r="F10" s="13" t="s">
        <v>19</v>
      </c>
      <c r="H10" s="261">
        <f>SUM(H7:H9)</f>
        <v>18000000</v>
      </c>
      <c r="I10" s="261">
        <f>SUM(I7:I9)</f>
        <v>18000000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+E1-I10+O10+G19</f>
        <v>20744524</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17" s="1" customFormat="1">
      <c r="A17" s="5"/>
      <c r="B17" s="5"/>
      <c r="C17" s="5"/>
      <c r="E17" s="132"/>
      <c r="F17" s="58"/>
      <c r="G17" s="5"/>
      <c r="H17" s="123"/>
      <c r="I17" s="289"/>
      <c r="J17" s="137"/>
      <c r="L17" s="9"/>
      <c r="M17" s="137"/>
      <c r="Q17" s="13"/>
    </row>
    <row r="18" spans="1:17">
      <c r="A18" s="43"/>
      <c r="B18" s="43"/>
      <c r="C18" s="13">
        <v>5437</v>
      </c>
      <c r="D18" s="13" t="s">
        <v>77</v>
      </c>
      <c r="E18" s="13" t="s">
        <v>347</v>
      </c>
      <c r="F18" s="13" t="s">
        <v>94</v>
      </c>
      <c r="G18" s="2">
        <v>18000000</v>
      </c>
      <c r="H18" s="498" t="s">
        <v>587</v>
      </c>
    </row>
    <row r="19" spans="1:17">
      <c r="G19" s="527">
        <f>SUM(G18)</f>
        <v>18000000</v>
      </c>
      <c r="H19" s="65"/>
    </row>
    <row r="20" spans="1:17">
      <c r="H20" s="65"/>
    </row>
    <row r="21" spans="1:17">
      <c r="H21" s="65"/>
    </row>
  </sheetData>
  <phoneticPr fontId="3" type="noConversion"/>
  <pageMargins left="0.75" right="0.75" top="1" bottom="1" header="0.5" footer="0.5"/>
  <pageSetup scale="5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0" tint="-0.499984740745262"/>
  </sheetPr>
  <dimension ref="A1:V35"/>
  <sheetViews>
    <sheetView zoomScaleNormal="100" workbookViewId="0">
      <selection activeCell="H19" sqref="H19"/>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5" style="13" customWidth="1"/>
    <col min="6" max="6" width="26.75" style="13" bestFit="1" customWidth="1"/>
    <col min="7" max="7" width="12.375" style="13" customWidth="1"/>
    <col min="8" max="8" width="14.375" style="12" customWidth="1"/>
    <col min="9" max="9" width="12.75" style="35" bestFit="1" customWidth="1"/>
    <col min="10" max="10" width="15.25" style="13" bestFit="1" customWidth="1"/>
    <col min="11" max="11" width="10.875" style="13" bestFit="1" customWidth="1"/>
    <col min="12" max="12" width="14.25" style="34" customWidth="1"/>
    <col min="13" max="13" width="10.875" style="13" bestFit="1" customWidth="1"/>
    <col min="14" max="14" width="15.25" style="57" customWidth="1"/>
    <col min="15" max="15" width="14.75" style="12" bestFit="1" customWidth="1"/>
    <col min="16" max="16" width="10.625" style="13" bestFit="1" customWidth="1"/>
    <col min="17" max="17" width="10.25" style="13" bestFit="1" customWidth="1"/>
    <col min="18" max="18" width="43.75" style="13" bestFit="1" customWidth="1"/>
    <col min="19" max="19" width="28.375" style="13" bestFit="1" customWidth="1"/>
    <col min="20" max="16384" width="10.875" style="13"/>
  </cols>
  <sheetData>
    <row r="1" spans="1:22" s="17" customFormat="1" ht="11.4">
      <c r="A1" s="16" t="s">
        <v>12</v>
      </c>
      <c r="B1" s="288"/>
      <c r="C1" s="288"/>
      <c r="E1" s="372">
        <f>ROUND(Totals!$H$8*Totals!$P$13, 0)</f>
        <v>196937752</v>
      </c>
      <c r="F1" s="18"/>
      <c r="G1" s="18"/>
      <c r="H1" s="324"/>
      <c r="I1" s="325"/>
      <c r="J1" s="281"/>
      <c r="K1" s="281"/>
      <c r="L1" s="325"/>
      <c r="M1" s="281"/>
      <c r="N1" s="324"/>
      <c r="O1" s="324"/>
      <c r="P1" s="281"/>
      <c r="R1" s="282"/>
      <c r="S1" s="5"/>
      <c r="T1" s="5"/>
      <c r="U1" s="5"/>
      <c r="V1" s="5"/>
    </row>
    <row r="2" spans="1:22" s="5" customFormat="1" ht="11.4">
      <c r="A2" s="25" t="s">
        <v>39</v>
      </c>
      <c r="B2" s="48"/>
      <c r="C2" s="48"/>
      <c r="E2" s="26"/>
      <c r="F2" s="26"/>
      <c r="G2" s="26"/>
      <c r="H2" s="46"/>
      <c r="I2" s="47"/>
      <c r="J2" s="6"/>
      <c r="K2" s="6"/>
      <c r="L2" s="47"/>
      <c r="M2" s="6"/>
      <c r="N2" s="46"/>
      <c r="O2" s="46"/>
      <c r="P2" s="6"/>
      <c r="R2" s="283"/>
    </row>
    <row r="3" spans="1:22">
      <c r="A3" s="136"/>
      <c r="H3" s="44"/>
      <c r="I3" s="45"/>
      <c r="J3" s="11"/>
      <c r="K3" s="11"/>
      <c r="L3" s="27"/>
      <c r="M3" s="11"/>
      <c r="N3" s="53"/>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5" customFormat="1" ht="11.4">
      <c r="A7" s="5">
        <v>2</v>
      </c>
      <c r="B7" s="5">
        <v>2</v>
      </c>
      <c r="C7" s="5">
        <v>5472</v>
      </c>
      <c r="D7" s="5" t="s">
        <v>507</v>
      </c>
      <c r="E7" s="5" t="s">
        <v>211</v>
      </c>
      <c r="F7" s="26" t="s">
        <v>449</v>
      </c>
      <c r="G7" s="26" t="s">
        <v>80</v>
      </c>
      <c r="H7" s="341">
        <v>36000000</v>
      </c>
      <c r="I7" s="341">
        <f>H7</f>
        <v>36000000</v>
      </c>
      <c r="J7" s="6">
        <v>44595</v>
      </c>
      <c r="K7" s="6">
        <f>J7+35</f>
        <v>44630</v>
      </c>
      <c r="L7" s="341">
        <v>36000000</v>
      </c>
      <c r="M7" s="6">
        <f>J7+180</f>
        <v>44775</v>
      </c>
      <c r="N7" s="341"/>
      <c r="O7" s="341"/>
      <c r="P7" s="6"/>
      <c r="Q7" s="5" t="s">
        <v>206</v>
      </c>
      <c r="R7" s="502" t="s">
        <v>545</v>
      </c>
    </row>
    <row r="8" spans="1:22">
      <c r="A8" s="13">
        <v>3</v>
      </c>
      <c r="B8" s="13">
        <v>7</v>
      </c>
      <c r="C8" s="13" t="s">
        <v>447</v>
      </c>
      <c r="D8" s="13" t="s">
        <v>315</v>
      </c>
      <c r="E8" s="13" t="s">
        <v>252</v>
      </c>
      <c r="F8" s="36" t="s">
        <v>350</v>
      </c>
      <c r="G8" s="36" t="s">
        <v>80</v>
      </c>
      <c r="H8" s="286">
        <v>0</v>
      </c>
      <c r="I8" s="286"/>
      <c r="J8" s="11"/>
      <c r="K8" s="11"/>
      <c r="L8" s="286"/>
      <c r="M8" s="11"/>
      <c r="N8" s="286"/>
      <c r="O8" s="286"/>
      <c r="P8" s="11"/>
      <c r="Q8" s="13" t="s">
        <v>206</v>
      </c>
      <c r="R8" s="92" t="s">
        <v>533</v>
      </c>
    </row>
    <row r="9" spans="1:22">
      <c r="A9" s="13">
        <v>7</v>
      </c>
      <c r="B9" s="13">
        <v>13</v>
      </c>
      <c r="C9" s="13" t="s">
        <v>448</v>
      </c>
      <c r="D9" s="13" t="s">
        <v>315</v>
      </c>
      <c r="E9" s="13" t="s">
        <v>252</v>
      </c>
      <c r="F9" s="36" t="s">
        <v>351</v>
      </c>
      <c r="G9" s="36" t="s">
        <v>80</v>
      </c>
      <c r="H9" s="286">
        <v>0</v>
      </c>
      <c r="I9" s="286"/>
      <c r="J9" s="11"/>
      <c r="K9" s="11"/>
      <c r="L9" s="286"/>
      <c r="M9" s="11"/>
      <c r="N9" s="286"/>
      <c r="O9" s="286"/>
      <c r="P9" s="11"/>
      <c r="Q9" s="13" t="s">
        <v>206</v>
      </c>
      <c r="R9" s="92" t="s">
        <v>534</v>
      </c>
    </row>
    <row r="10" spans="1:22" s="5" customFormat="1" ht="11.4">
      <c r="A10" s="5">
        <v>9</v>
      </c>
      <c r="B10" s="5">
        <v>15</v>
      </c>
      <c r="C10" s="5">
        <v>5485</v>
      </c>
      <c r="D10" s="5" t="s">
        <v>507</v>
      </c>
      <c r="E10" s="5" t="s">
        <v>450</v>
      </c>
      <c r="F10" s="26" t="s">
        <v>451</v>
      </c>
      <c r="G10" s="26" t="s">
        <v>452</v>
      </c>
      <c r="H10" s="341">
        <v>55000000</v>
      </c>
      <c r="I10" s="341">
        <f>H10</f>
        <v>55000000</v>
      </c>
      <c r="J10" s="6">
        <v>44597</v>
      </c>
      <c r="K10" s="6">
        <f>J10+35</f>
        <v>44632</v>
      </c>
      <c r="L10" s="341">
        <v>55000000</v>
      </c>
      <c r="M10" s="6">
        <f>J10+180</f>
        <v>44777</v>
      </c>
      <c r="N10" s="341"/>
      <c r="O10" s="341"/>
      <c r="P10" s="6"/>
      <c r="Q10" s="5" t="s">
        <v>247</v>
      </c>
      <c r="R10" s="502" t="s">
        <v>553</v>
      </c>
    </row>
    <row r="11" spans="1:22">
      <c r="A11" s="13">
        <v>45</v>
      </c>
      <c r="B11" s="13">
        <v>45</v>
      </c>
      <c r="C11" s="13">
        <v>5473</v>
      </c>
      <c r="D11" s="13" t="s">
        <v>315</v>
      </c>
      <c r="E11" s="13" t="s">
        <v>252</v>
      </c>
      <c r="F11" s="36" t="s">
        <v>453</v>
      </c>
      <c r="G11" s="36" t="s">
        <v>80</v>
      </c>
      <c r="H11" s="286">
        <v>48000000</v>
      </c>
      <c r="I11" s="286">
        <f>H11</f>
        <v>48000000</v>
      </c>
      <c r="J11" s="11">
        <v>44595</v>
      </c>
      <c r="K11" s="11">
        <f>J11+35</f>
        <v>44630</v>
      </c>
      <c r="L11" s="286">
        <v>0</v>
      </c>
      <c r="M11" s="11">
        <f>J11+180</f>
        <v>44775</v>
      </c>
      <c r="N11" s="286"/>
      <c r="O11" s="286">
        <f>I11-L11</f>
        <v>48000000</v>
      </c>
      <c r="P11" s="11">
        <v>44614</v>
      </c>
      <c r="Q11" s="13" t="s">
        <v>255</v>
      </c>
      <c r="R11" s="92"/>
      <c r="S11" s="439" t="s">
        <v>549</v>
      </c>
    </row>
    <row r="12" spans="1:22">
      <c r="A12" s="13">
        <v>54</v>
      </c>
      <c r="B12" s="13">
        <v>54</v>
      </c>
      <c r="C12" s="13">
        <v>5474</v>
      </c>
      <c r="D12" s="13" t="s">
        <v>315</v>
      </c>
      <c r="E12" s="13" t="s">
        <v>252</v>
      </c>
      <c r="F12" s="36" t="s">
        <v>349</v>
      </c>
      <c r="G12" s="36" t="s">
        <v>80</v>
      </c>
      <c r="H12" s="286">
        <v>20000000</v>
      </c>
      <c r="I12" s="286">
        <f>H12</f>
        <v>20000000</v>
      </c>
      <c r="J12" s="11">
        <v>44595</v>
      </c>
      <c r="K12" s="11">
        <f>J12+35</f>
        <v>44630</v>
      </c>
      <c r="L12" s="286">
        <v>0</v>
      </c>
      <c r="M12" s="11">
        <f>J12+180</f>
        <v>44775</v>
      </c>
      <c r="N12" s="286"/>
      <c r="O12" s="286">
        <f>I12-L12</f>
        <v>20000000</v>
      </c>
      <c r="P12" s="11">
        <v>44617</v>
      </c>
      <c r="Q12" s="13" t="s">
        <v>255</v>
      </c>
      <c r="R12" s="92"/>
      <c r="S12" s="439" t="s">
        <v>549</v>
      </c>
    </row>
    <row r="13" spans="1:22" s="535" customFormat="1">
      <c r="A13" s="535" t="s">
        <v>146</v>
      </c>
      <c r="B13" s="535" t="s">
        <v>146</v>
      </c>
      <c r="C13" s="535">
        <v>5475</v>
      </c>
      <c r="D13" s="535" t="s">
        <v>316</v>
      </c>
      <c r="E13" s="535" t="s">
        <v>251</v>
      </c>
      <c r="F13" s="536" t="s">
        <v>326</v>
      </c>
      <c r="G13" s="536" t="s">
        <v>327</v>
      </c>
      <c r="H13" s="503">
        <v>22500000</v>
      </c>
      <c r="I13" s="503">
        <f>H13</f>
        <v>22500000</v>
      </c>
      <c r="J13" s="537">
        <v>44595</v>
      </c>
      <c r="K13" s="537">
        <f>J13+35</f>
        <v>44630</v>
      </c>
      <c r="L13" s="503">
        <v>18740000</v>
      </c>
      <c r="M13" s="537">
        <f>J13+180</f>
        <v>44775</v>
      </c>
      <c r="N13" s="503">
        <v>0</v>
      </c>
      <c r="O13" s="503">
        <f>I13-N13</f>
        <v>22500000</v>
      </c>
      <c r="P13" s="537">
        <v>44622</v>
      </c>
      <c r="Q13" s="535" t="s">
        <v>255</v>
      </c>
      <c r="R13" s="538"/>
      <c r="S13" s="539" t="s">
        <v>550</v>
      </c>
    </row>
    <row r="14" spans="1:22">
      <c r="F14" s="36"/>
      <c r="G14" s="36"/>
      <c r="H14" s="59"/>
      <c r="I14" s="59"/>
      <c r="J14" s="11"/>
      <c r="K14" s="11"/>
      <c r="L14" s="45"/>
      <c r="M14" s="11"/>
      <c r="N14" s="27"/>
      <c r="O14" s="27"/>
      <c r="P14" s="11"/>
    </row>
    <row r="15" spans="1:22">
      <c r="A15" s="43"/>
      <c r="B15" s="43"/>
      <c r="C15" s="43"/>
      <c r="D15" s="43"/>
      <c r="E15" s="1"/>
      <c r="F15" s="13" t="s">
        <v>19</v>
      </c>
      <c r="H15" s="261">
        <f>SUM(H7:H14)</f>
        <v>181500000</v>
      </c>
      <c r="I15" s="261">
        <f>SUM(I7:I14)</f>
        <v>181500000</v>
      </c>
      <c r="J15" s="10"/>
      <c r="K15" s="10"/>
      <c r="L15" s="261">
        <f>SUM(L7:L14)</f>
        <v>109740000</v>
      </c>
      <c r="M15" s="10"/>
      <c r="N15" s="261">
        <f>SUM(N7:N14)</f>
        <v>0</v>
      </c>
      <c r="O15" s="261">
        <f>SUM(O7:O14)</f>
        <v>90500000</v>
      </c>
    </row>
    <row r="16" spans="1:22" s="1" customFormat="1">
      <c r="A16" s="5"/>
      <c r="B16" s="5"/>
      <c r="C16" s="5"/>
      <c r="D16" s="87"/>
      <c r="F16" s="13"/>
      <c r="H16" s="76"/>
      <c r="J16" s="11"/>
      <c r="K16" s="11"/>
      <c r="L16" s="9"/>
      <c r="M16" s="6"/>
      <c r="Q16" s="13"/>
    </row>
    <row r="17" spans="1:17" s="1" customFormat="1">
      <c r="A17" s="5"/>
      <c r="B17" s="5"/>
      <c r="C17" s="5"/>
      <c r="E17" s="5"/>
      <c r="F17" s="13" t="s">
        <v>43</v>
      </c>
      <c r="G17" s="5"/>
      <c r="H17" s="34">
        <f>H15-I15</f>
        <v>0</v>
      </c>
      <c r="I17" s="9"/>
      <c r="L17" s="9"/>
      <c r="Q17" s="13"/>
    </row>
    <row r="18" spans="1:17" s="1" customFormat="1">
      <c r="A18" s="5"/>
      <c r="B18" s="5"/>
      <c r="C18" s="5"/>
      <c r="E18" s="5"/>
      <c r="G18" s="5"/>
      <c r="H18" s="67"/>
      <c r="I18" s="9"/>
      <c r="K18" s="92"/>
      <c r="L18" s="9"/>
      <c r="N18" s="76"/>
      <c r="Q18" s="13"/>
    </row>
    <row r="19" spans="1:17" s="1" customFormat="1">
      <c r="A19" s="5"/>
      <c r="B19" s="5"/>
      <c r="C19" s="5"/>
      <c r="E19" s="132"/>
      <c r="F19" s="58" t="s">
        <v>75</v>
      </c>
      <c r="G19" s="5"/>
      <c r="H19" s="77">
        <f>+E1-I15+O15+G22</f>
        <v>105937752</v>
      </c>
      <c r="I19" s="289"/>
      <c r="J19" s="137"/>
      <c r="K19" s="92"/>
      <c r="L19" s="82"/>
      <c r="M19" s="137"/>
      <c r="O19" s="9"/>
      <c r="Q19" s="13"/>
    </row>
    <row r="20" spans="1:17">
      <c r="H20" s="60"/>
      <c r="I20" s="60"/>
      <c r="J20" s="10"/>
      <c r="K20" s="92"/>
      <c r="L20" s="35"/>
    </row>
    <row r="21" spans="1:17">
      <c r="A21" s="5"/>
      <c r="B21" s="5"/>
      <c r="G21" s="503"/>
      <c r="H21" s="415"/>
      <c r="K21" s="11"/>
    </row>
    <row r="22" spans="1:17">
      <c r="A22" s="5"/>
      <c r="B22" s="5"/>
      <c r="C22" s="5"/>
      <c r="G22" s="417">
        <f>SUM(G21:G21)</f>
        <v>0</v>
      </c>
    </row>
    <row r="24" spans="1:17">
      <c r="G24" s="10"/>
    </row>
    <row r="25" spans="1:17">
      <c r="G25" s="286"/>
      <c r="H25" s="418"/>
      <c r="J25" s="13" t="s">
        <v>7</v>
      </c>
    </row>
    <row r="26" spans="1:17">
      <c r="G26" s="286"/>
      <c r="H26" s="415"/>
    </row>
    <row r="27" spans="1:17">
      <c r="C27" s="43"/>
      <c r="D27" s="43"/>
      <c r="E27" s="147"/>
    </row>
    <row r="30" spans="1:17">
      <c r="A30" s="43"/>
      <c r="B30" s="43"/>
      <c r="C30" s="43"/>
      <c r="D30" s="43"/>
      <c r="E30" s="43"/>
      <c r="F30" s="43"/>
      <c r="G30" s="43"/>
      <c r="H30" s="43"/>
    </row>
    <row r="33" spans="1:8">
      <c r="A33" s="43"/>
      <c r="B33" s="43"/>
      <c r="C33" s="43"/>
      <c r="D33" s="43"/>
      <c r="E33" s="43"/>
      <c r="F33" s="43"/>
      <c r="G33" s="43"/>
      <c r="H33" s="43"/>
    </row>
    <row r="35" spans="1:8">
      <c r="A35" s="43"/>
      <c r="B35" s="43"/>
      <c r="C35" s="43"/>
      <c r="D35" s="43"/>
      <c r="E35" s="43"/>
      <c r="F35" s="43"/>
      <c r="G35" s="43"/>
      <c r="H35" s="43"/>
    </row>
  </sheetData>
  <phoneticPr fontId="0" type="noConversion"/>
  <pageMargins left="0.75" right="0.75" top="1" bottom="1" header="0.5" footer="0.5"/>
  <pageSetup scale="74" fitToHeight="2" orientation="landscape" horizontalDpi="4294967292" verticalDpi="4294967292" r:id="rId1"/>
  <headerFooter alignWithMargins="0"/>
  <colBreaks count="1" manualBreakCount="1">
    <brk id="1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theme="0" tint="-0.499984740745262"/>
  </sheetPr>
  <dimension ref="A1:V30"/>
  <sheetViews>
    <sheetView zoomScaleNormal="100" workbookViewId="0">
      <selection activeCell="H16" sqref="H16"/>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7.625" style="13" bestFit="1" customWidth="1"/>
    <col min="6" max="6" width="33" style="13" customWidth="1"/>
    <col min="7" max="7" width="14"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4" style="12" bestFit="1" customWidth="1"/>
    <col min="16" max="16" width="10.625" style="13" bestFit="1" customWidth="1"/>
    <col min="17" max="17" width="10.25" style="13" bestFit="1" customWidth="1"/>
    <col min="18" max="18" width="40.375" style="13" bestFit="1" customWidth="1"/>
    <col min="19" max="19" width="26.25" style="13" bestFit="1" customWidth="1"/>
    <col min="20" max="20" width="14.25" style="13" bestFit="1" customWidth="1"/>
    <col min="21" max="16384" width="10.875" style="13"/>
  </cols>
  <sheetData>
    <row r="1" spans="1:22" s="17" customFormat="1" ht="11.4">
      <c r="A1" s="16" t="s">
        <v>12</v>
      </c>
      <c r="B1" s="288"/>
      <c r="C1" s="288"/>
      <c r="E1" s="372">
        <f>ROUND(Totals!$H$8*Totals!$P$14, 0)</f>
        <v>64962840</v>
      </c>
      <c r="F1" s="18"/>
      <c r="G1" s="18"/>
      <c r="H1" s="324"/>
      <c r="I1" s="325"/>
      <c r="J1" s="281"/>
      <c r="K1" s="281"/>
      <c r="L1" s="325"/>
      <c r="M1" s="281"/>
      <c r="N1" s="324"/>
      <c r="O1" s="324"/>
      <c r="P1" s="281"/>
      <c r="R1" s="282"/>
      <c r="S1" s="5"/>
      <c r="T1" s="5"/>
      <c r="U1" s="5"/>
      <c r="V1" s="5"/>
    </row>
    <row r="2" spans="1:22" s="5" customFormat="1" ht="11.4">
      <c r="A2" s="25" t="s">
        <v>11</v>
      </c>
      <c r="B2" s="48"/>
      <c r="C2" s="48"/>
      <c r="E2" s="26"/>
      <c r="F2" s="26"/>
      <c r="G2" s="26"/>
      <c r="H2" s="46"/>
      <c r="I2" s="47"/>
      <c r="J2" s="6"/>
      <c r="K2" s="6"/>
      <c r="L2" s="47"/>
      <c r="M2" s="6"/>
      <c r="N2" s="46"/>
      <c r="O2" s="46"/>
      <c r="P2" s="6"/>
      <c r="R2" s="283"/>
    </row>
    <row r="3" spans="1:22">
      <c r="A3" s="135"/>
      <c r="B3" s="43"/>
      <c r="C3" s="43"/>
      <c r="E3" s="36"/>
      <c r="F3" s="36"/>
      <c r="G3" s="36"/>
      <c r="H3" s="44"/>
      <c r="I3" s="85"/>
      <c r="L3" s="13"/>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18</v>
      </c>
      <c r="B7" s="13">
        <v>24</v>
      </c>
      <c r="C7" s="13" t="s">
        <v>454</v>
      </c>
      <c r="D7" s="13" t="s">
        <v>315</v>
      </c>
      <c r="E7" s="13" t="s">
        <v>141</v>
      </c>
      <c r="F7" s="36" t="s">
        <v>456</v>
      </c>
      <c r="G7" s="36" t="s">
        <v>457</v>
      </c>
      <c r="H7" s="409">
        <v>0</v>
      </c>
      <c r="I7" s="286"/>
      <c r="J7" s="11"/>
      <c r="K7" s="11"/>
      <c r="L7" s="286"/>
      <c r="M7" s="11"/>
      <c r="N7" s="286"/>
      <c r="O7" s="286"/>
      <c r="P7" s="11"/>
      <c r="Q7" s="13" t="s">
        <v>247</v>
      </c>
      <c r="R7" s="92"/>
      <c r="S7" s="43"/>
    </row>
    <row r="8" spans="1:22">
      <c r="A8" s="13">
        <v>43</v>
      </c>
      <c r="B8" s="13">
        <v>44</v>
      </c>
      <c r="C8" s="13" t="s">
        <v>455</v>
      </c>
      <c r="D8" s="13" t="s">
        <v>315</v>
      </c>
      <c r="E8" s="13" t="s">
        <v>141</v>
      </c>
      <c r="F8" s="36" t="s">
        <v>458</v>
      </c>
      <c r="G8" s="36" t="s">
        <v>254</v>
      </c>
      <c r="H8" s="409">
        <v>0</v>
      </c>
      <c r="I8" s="286"/>
      <c r="J8" s="11"/>
      <c r="K8" s="11"/>
      <c r="L8" s="286"/>
      <c r="M8" s="11"/>
      <c r="N8" s="342"/>
      <c r="O8" s="286"/>
      <c r="P8" s="11"/>
      <c r="Q8" s="13" t="s">
        <v>255</v>
      </c>
      <c r="R8" s="92"/>
      <c r="S8" s="43"/>
    </row>
    <row r="9" spans="1:22" s="5" customFormat="1" ht="11.4">
      <c r="A9" s="5" t="s">
        <v>146</v>
      </c>
      <c r="B9" s="5" t="s">
        <v>146</v>
      </c>
      <c r="C9" s="5">
        <v>5459</v>
      </c>
      <c r="D9" s="5" t="s">
        <v>507</v>
      </c>
      <c r="E9" s="5" t="s">
        <v>98</v>
      </c>
      <c r="F9" s="26" t="s">
        <v>505</v>
      </c>
      <c r="G9" s="26" t="s">
        <v>79</v>
      </c>
      <c r="H9" s="344">
        <v>52000000</v>
      </c>
      <c r="I9" s="341">
        <v>52000000</v>
      </c>
      <c r="J9" s="6">
        <v>44572</v>
      </c>
      <c r="K9" s="6">
        <f>J9+35</f>
        <v>44607</v>
      </c>
      <c r="L9" s="341">
        <v>52000000</v>
      </c>
      <c r="M9" s="6">
        <f>J9+180</f>
        <v>44752</v>
      </c>
      <c r="N9" s="519"/>
      <c r="O9" s="341"/>
      <c r="P9" s="6"/>
      <c r="Q9" s="5" t="s">
        <v>255</v>
      </c>
      <c r="R9" s="141"/>
      <c r="S9" s="528" t="s">
        <v>512</v>
      </c>
    </row>
    <row r="10" spans="1:22" s="89" customFormat="1" ht="11.4">
      <c r="A10" s="89" t="s">
        <v>146</v>
      </c>
      <c r="B10" s="89" t="s">
        <v>146</v>
      </c>
      <c r="C10" s="89">
        <v>5511</v>
      </c>
      <c r="D10" s="89" t="s">
        <v>507</v>
      </c>
      <c r="E10" s="89" t="s">
        <v>98</v>
      </c>
      <c r="F10" s="88" t="s">
        <v>403</v>
      </c>
      <c r="G10" s="88" t="s">
        <v>79</v>
      </c>
      <c r="H10" s="507">
        <v>3000000</v>
      </c>
      <c r="I10" s="509">
        <f>H10</f>
        <v>3000000</v>
      </c>
      <c r="J10" s="91">
        <v>44618</v>
      </c>
      <c r="K10" s="91">
        <f>J10+35</f>
        <v>44653</v>
      </c>
      <c r="L10" s="509"/>
      <c r="M10" s="91">
        <f>J10+180</f>
        <v>44798</v>
      </c>
      <c r="N10" s="511"/>
      <c r="O10" s="509"/>
      <c r="P10" s="91"/>
      <c r="Q10" s="89" t="s">
        <v>255</v>
      </c>
      <c r="R10" s="512"/>
      <c r="S10" s="529"/>
    </row>
    <row r="11" spans="1:22">
      <c r="F11" s="36"/>
      <c r="G11" s="36"/>
      <c r="H11" s="409"/>
      <c r="I11" s="286"/>
      <c r="J11" s="11"/>
      <c r="K11" s="11"/>
      <c r="L11" s="286"/>
      <c r="M11" s="11"/>
      <c r="N11" s="286"/>
      <c r="O11" s="286"/>
      <c r="P11" s="11"/>
      <c r="R11" s="92"/>
    </row>
    <row r="12" spans="1:22">
      <c r="A12" s="43"/>
      <c r="B12" s="43"/>
      <c r="C12" s="43"/>
      <c r="D12" s="43"/>
      <c r="E12" s="1"/>
      <c r="F12" s="13" t="s">
        <v>19</v>
      </c>
      <c r="H12" s="261">
        <f>SUM(H7:H11)</f>
        <v>55000000</v>
      </c>
      <c r="I12" s="261">
        <f>SUM(I7:I11)</f>
        <v>55000000</v>
      </c>
      <c r="J12" s="10"/>
      <c r="K12" s="10"/>
      <c r="L12" s="261">
        <f>SUM(L7:L11)</f>
        <v>52000000</v>
      </c>
      <c r="M12" s="10"/>
      <c r="N12" s="261">
        <f>SUM(N7:N11)</f>
        <v>0</v>
      </c>
      <c r="O12" s="261">
        <f>SUM(O7:O11)</f>
        <v>0</v>
      </c>
    </row>
    <row r="13" spans="1:22" s="1" customFormat="1">
      <c r="A13" s="5"/>
      <c r="B13" s="5"/>
      <c r="C13" s="5"/>
      <c r="D13" s="87"/>
      <c r="F13" s="13"/>
      <c r="H13" s="76"/>
      <c r="J13" s="11"/>
      <c r="K13" s="11"/>
      <c r="L13" s="9"/>
      <c r="M13" s="6"/>
      <c r="Q13" s="13"/>
    </row>
    <row r="14" spans="1:22" s="1" customFormat="1">
      <c r="A14" s="5"/>
      <c r="B14" s="5"/>
      <c r="C14" s="5"/>
      <c r="E14" s="5"/>
      <c r="F14" s="13" t="s">
        <v>43</v>
      </c>
      <c r="G14" s="5"/>
      <c r="H14" s="34">
        <f>H12-I12</f>
        <v>0</v>
      </c>
      <c r="I14" s="9"/>
      <c r="J14" s="3"/>
      <c r="L14" s="9"/>
      <c r="Q14" s="13"/>
    </row>
    <row r="15" spans="1:22" s="1" customFormat="1">
      <c r="A15" s="5"/>
      <c r="B15" s="5"/>
      <c r="C15" s="5"/>
      <c r="E15" s="5"/>
      <c r="G15" s="5"/>
      <c r="H15" s="67"/>
      <c r="I15" s="9"/>
      <c r="K15" s="137"/>
      <c r="L15" s="9"/>
      <c r="M15" s="3"/>
      <c r="N15" s="76"/>
      <c r="Q15" s="13"/>
    </row>
    <row r="16" spans="1:22" s="1" customFormat="1">
      <c r="A16" s="5"/>
      <c r="B16" s="5"/>
      <c r="C16" s="5"/>
      <c r="E16" s="132"/>
      <c r="F16" s="58" t="s">
        <v>10</v>
      </c>
      <c r="G16" s="5"/>
      <c r="H16" s="77">
        <f>E1-I12+O12+G21</f>
        <v>61962840</v>
      </c>
      <c r="I16" s="289"/>
      <c r="J16" s="137"/>
      <c r="L16" s="9"/>
      <c r="M16" s="3"/>
      <c r="Q16" s="13"/>
    </row>
    <row r="17" spans="1:14">
      <c r="A17" s="43"/>
      <c r="B17" s="43"/>
      <c r="C17" s="43"/>
      <c r="D17" s="1"/>
      <c r="E17" s="1"/>
      <c r="F17" s="1"/>
      <c r="G17" s="1"/>
      <c r="H17" s="9"/>
      <c r="I17" s="34"/>
      <c r="N17" s="386"/>
    </row>
    <row r="18" spans="1:14">
      <c r="A18" s="43"/>
      <c r="B18" s="43"/>
      <c r="C18" s="43"/>
      <c r="D18" s="1"/>
      <c r="E18" s="1"/>
      <c r="F18" s="1"/>
      <c r="G18" s="286"/>
      <c r="H18" s="9"/>
      <c r="I18" s="34"/>
      <c r="K18" s="11"/>
      <c r="L18" s="398"/>
      <c r="N18" s="386"/>
    </row>
    <row r="19" spans="1:14">
      <c r="C19" s="13">
        <v>5252</v>
      </c>
      <c r="D19" s="13" t="s">
        <v>77</v>
      </c>
      <c r="E19" s="13" t="s">
        <v>98</v>
      </c>
      <c r="F19" s="36" t="s">
        <v>94</v>
      </c>
      <c r="G19" s="286">
        <v>45000000</v>
      </c>
      <c r="H19" s="285" t="s">
        <v>510</v>
      </c>
      <c r="K19" s="11"/>
      <c r="L19" s="392"/>
      <c r="N19" s="386"/>
    </row>
    <row r="20" spans="1:14">
      <c r="C20" s="13">
        <v>5253</v>
      </c>
      <c r="D20" s="13" t="s">
        <v>77</v>
      </c>
      <c r="E20" s="13" t="s">
        <v>98</v>
      </c>
      <c r="F20" s="36" t="s">
        <v>94</v>
      </c>
      <c r="G20" s="286">
        <v>7000000</v>
      </c>
      <c r="H20" s="285" t="s">
        <v>511</v>
      </c>
      <c r="K20" s="11"/>
      <c r="L20" s="392"/>
      <c r="N20" s="386"/>
    </row>
    <row r="21" spans="1:14">
      <c r="F21" s="36"/>
      <c r="G21" s="296">
        <f>SUM(G19:G20)</f>
        <v>52000000</v>
      </c>
      <c r="L21" s="386"/>
    </row>
    <row r="22" spans="1:14">
      <c r="H22" s="62"/>
      <c r="I22" s="62"/>
    </row>
    <row r="23" spans="1:14">
      <c r="I23" s="34"/>
    </row>
    <row r="30" spans="1:14">
      <c r="J30" s="13" t="s">
        <v>7</v>
      </c>
    </row>
  </sheetData>
  <phoneticPr fontId="0" type="noConversion"/>
  <pageMargins left="0.75" right="0.75" top="1" bottom="1" header="0.5" footer="0.5"/>
  <pageSetup scale="82" fitToHeight="2" orientation="landscape" horizontalDpi="4294967292" verticalDpi="4294967292"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1">
    <tabColor theme="0" tint="-0.499984740745262"/>
  </sheetPr>
  <dimension ref="A1:V28"/>
  <sheetViews>
    <sheetView zoomScaleNormal="100"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0.375" style="13" customWidth="1"/>
    <col min="5" max="5" width="22.375" style="13" customWidth="1"/>
    <col min="6" max="6" width="29.37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42.75" style="13" bestFit="1" customWidth="1"/>
    <col min="19" max="16384" width="10.875" style="13"/>
  </cols>
  <sheetData>
    <row r="1" spans="1:22" s="17" customFormat="1" ht="11.4">
      <c r="A1" s="16" t="s">
        <v>12</v>
      </c>
      <c r="B1" s="288"/>
      <c r="C1" s="288"/>
      <c r="E1" s="372">
        <f>ROUND(Totals!$H$8*Totals!$P$15, 0)</f>
        <v>33850980</v>
      </c>
      <c r="F1" s="18"/>
      <c r="G1" s="18"/>
      <c r="H1" s="324"/>
      <c r="I1" s="325"/>
      <c r="J1" s="281"/>
      <c r="K1" s="281"/>
      <c r="L1" s="325"/>
      <c r="M1" s="281"/>
      <c r="N1" s="324"/>
      <c r="O1" s="324"/>
      <c r="P1" s="281"/>
      <c r="R1" s="282"/>
      <c r="S1" s="5"/>
      <c r="T1" s="5"/>
      <c r="U1" s="5"/>
      <c r="V1" s="5"/>
    </row>
    <row r="2" spans="1:22" s="5" customFormat="1" ht="11.4">
      <c r="A2" s="25" t="s">
        <v>74</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286"/>
      <c r="M7" s="11"/>
      <c r="N7" s="286"/>
      <c r="O7" s="286"/>
      <c r="P7" s="11"/>
      <c r="R7" s="440"/>
    </row>
    <row r="8" spans="1:22">
      <c r="F8" s="36"/>
      <c r="G8" s="36"/>
      <c r="H8" s="286"/>
      <c r="I8" s="286"/>
      <c r="J8" s="11"/>
      <c r="K8" s="11"/>
      <c r="L8" s="286"/>
      <c r="M8" s="11"/>
      <c r="N8" s="286"/>
      <c r="O8" s="286"/>
      <c r="P8" s="11"/>
      <c r="R8" s="92"/>
    </row>
    <row r="9" spans="1:22">
      <c r="F9" s="36"/>
      <c r="G9" s="36"/>
      <c r="H9" s="27"/>
      <c r="I9" s="27"/>
      <c r="J9" s="11"/>
      <c r="K9" s="11"/>
      <c r="L9" s="307"/>
      <c r="M9" s="11"/>
      <c r="N9" s="307"/>
      <c r="O9" s="307"/>
      <c r="P9" s="11"/>
      <c r="R9" s="43"/>
    </row>
    <row r="10" spans="1:22">
      <c r="A10" s="43"/>
      <c r="B10" s="43"/>
      <c r="C10" s="43"/>
      <c r="D10" s="43"/>
      <c r="E10" s="1"/>
      <c r="F10" s="13" t="s">
        <v>19</v>
      </c>
      <c r="H10" s="261">
        <f>SUM(H7:H7)</f>
        <v>0</v>
      </c>
      <c r="I10" s="261">
        <f>SUM(I7:I7)</f>
        <v>0</v>
      </c>
      <c r="J10" s="10"/>
      <c r="K10" s="10"/>
      <c r="L10" s="261">
        <f>SUM(L7:L7)</f>
        <v>0</v>
      </c>
      <c r="M10" s="10"/>
      <c r="N10" s="261">
        <f>SUM(N7:N7)</f>
        <v>0</v>
      </c>
      <c r="O10" s="261">
        <f>SUM(O7:O7)</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P12" s="3"/>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33850980</v>
      </c>
      <c r="I14" s="289"/>
      <c r="J14" s="137"/>
      <c r="L14" s="9"/>
      <c r="M14" s="137"/>
      <c r="N14" s="2"/>
      <c r="Q14" s="13"/>
    </row>
    <row r="15" spans="1:22" s="1" customFormat="1">
      <c r="A15" s="5"/>
      <c r="B15" s="5"/>
      <c r="C15" s="5"/>
      <c r="E15" s="132"/>
      <c r="F15" s="58"/>
      <c r="G15" s="5"/>
      <c r="H15" s="123"/>
      <c r="I15" s="289"/>
      <c r="J15" s="137"/>
      <c r="L15" s="9"/>
      <c r="M15" s="137"/>
      <c r="N15" s="2"/>
      <c r="Q15" s="13"/>
    </row>
    <row r="16" spans="1:22">
      <c r="H16" s="65"/>
      <c r="N16" s="41"/>
    </row>
    <row r="17" spans="6:8">
      <c r="F17" s="5"/>
      <c r="H17" s="66"/>
    </row>
    <row r="18" spans="6:8">
      <c r="G18" s="296">
        <f>SUM(G16:G17)</f>
        <v>0</v>
      </c>
      <c r="H18" s="66"/>
    </row>
    <row r="19" spans="6:8">
      <c r="H19" s="66"/>
    </row>
    <row r="20" spans="6:8">
      <c r="H20" s="65"/>
    </row>
    <row r="21" spans="6:8">
      <c r="H21" s="65"/>
    </row>
    <row r="22" spans="6:8">
      <c r="H22" s="65"/>
    </row>
    <row r="23" spans="6:8">
      <c r="H23" s="65"/>
    </row>
    <row r="24" spans="6:8">
      <c r="H24" s="65"/>
    </row>
    <row r="25" spans="6:8">
      <c r="H25" s="65"/>
    </row>
    <row r="26" spans="6:8">
      <c r="H26" s="65"/>
    </row>
    <row r="27" spans="6:8">
      <c r="H27" s="65"/>
    </row>
    <row r="28" spans="6:8">
      <c r="H28" s="65"/>
    </row>
  </sheetData>
  <pageMargins left="0.75" right="0.75" top="1" bottom="1" header="0.5" footer="0.5"/>
  <pageSetup scale="72" orientation="landscape" horizontalDpi="4294967292" verticalDpi="4294967292"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theme="0" tint="-0.499984740745262"/>
  </sheetPr>
  <dimension ref="A1:V28"/>
  <sheetViews>
    <sheetView zoomScaleNormal="100" workbookViewId="0">
      <selection activeCell="H15" sqref="H15"/>
    </sheetView>
  </sheetViews>
  <sheetFormatPr defaultColWidth="10.875" defaultRowHeight="12"/>
  <cols>
    <col min="1" max="1" width="9.625" style="13" customWidth="1"/>
    <col min="2" max="2" width="7.125" style="13" bestFit="1" customWidth="1"/>
    <col min="3" max="3" width="10.125" style="13" bestFit="1" customWidth="1"/>
    <col min="4" max="4" width="13.25" style="13" bestFit="1" customWidth="1"/>
    <col min="5" max="5" width="26.75" style="13" customWidth="1"/>
    <col min="6" max="6" width="26.625" style="13" customWidth="1"/>
    <col min="7" max="7" width="11.7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51" bestFit="1" customWidth="1"/>
    <col min="15" max="15" width="12.25" style="12" bestFit="1" customWidth="1"/>
    <col min="16" max="16" width="10.625" style="13" bestFit="1" customWidth="1"/>
    <col min="17" max="17" width="10.25" style="13" bestFit="1" customWidth="1"/>
    <col min="18" max="18" width="37.75" style="13" customWidth="1"/>
    <col min="19" max="19" width="12.625" style="13" bestFit="1" customWidth="1"/>
    <col min="20" max="16384" width="10.875" style="13"/>
  </cols>
  <sheetData>
    <row r="1" spans="1:22" s="17" customFormat="1" ht="11.4">
      <c r="A1" s="16" t="s">
        <v>12</v>
      </c>
      <c r="B1" s="288"/>
      <c r="C1" s="288"/>
      <c r="E1" s="372">
        <f>ROUND(Totals!$H$8*Totals!$P$16, 0)</f>
        <v>72075195</v>
      </c>
      <c r="F1" s="18"/>
      <c r="G1" s="18"/>
      <c r="H1" s="324"/>
      <c r="I1" s="325"/>
      <c r="J1" s="281"/>
      <c r="K1" s="281"/>
      <c r="L1" s="325"/>
      <c r="M1" s="281"/>
      <c r="N1" s="324"/>
      <c r="O1" s="324"/>
      <c r="P1" s="281"/>
      <c r="R1" s="282"/>
      <c r="S1" s="5"/>
      <c r="T1" s="5"/>
      <c r="U1" s="5"/>
      <c r="V1" s="5"/>
    </row>
    <row r="2" spans="1:22" s="5" customFormat="1" ht="11.4">
      <c r="A2" s="25" t="s">
        <v>26</v>
      </c>
      <c r="B2" s="48"/>
      <c r="C2" s="48"/>
      <c r="E2" s="26"/>
      <c r="F2" s="26"/>
      <c r="G2" s="26"/>
      <c r="H2" s="46"/>
      <c r="I2" s="47"/>
      <c r="J2" s="6"/>
      <c r="K2" s="6"/>
      <c r="L2" s="47"/>
      <c r="M2" s="6"/>
      <c r="N2" s="46"/>
      <c r="O2" s="46"/>
      <c r="P2" s="6"/>
      <c r="R2" s="283"/>
    </row>
    <row r="3" spans="1:22">
      <c r="A3" s="136"/>
      <c r="H3" s="44"/>
      <c r="I3" s="45"/>
      <c r="J3" s="11"/>
      <c r="K3" s="11"/>
      <c r="L3" s="45"/>
      <c r="M3" s="11"/>
      <c r="N3" s="50"/>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A7" s="13">
        <v>41</v>
      </c>
      <c r="B7" s="13">
        <v>4</v>
      </c>
      <c r="C7" s="13">
        <v>5464</v>
      </c>
      <c r="D7" s="13" t="s">
        <v>315</v>
      </c>
      <c r="E7" s="13" t="s">
        <v>377</v>
      </c>
      <c r="F7" s="36" t="s">
        <v>459</v>
      </c>
      <c r="G7" s="36" t="s">
        <v>81</v>
      </c>
      <c r="H7" s="409">
        <v>35000000</v>
      </c>
      <c r="I7" s="286">
        <f>H7</f>
        <v>35000000</v>
      </c>
      <c r="J7" s="11">
        <v>44589</v>
      </c>
      <c r="K7" s="11">
        <f>J7+35</f>
        <v>44624</v>
      </c>
      <c r="L7" s="286">
        <v>0</v>
      </c>
      <c r="M7" s="11">
        <f>J7+180</f>
        <v>44769</v>
      </c>
      <c r="N7" s="286"/>
      <c r="O7" s="286">
        <f>I7-L7</f>
        <v>35000000</v>
      </c>
      <c r="P7" s="11">
        <v>44608</v>
      </c>
      <c r="Q7" s="13" t="s">
        <v>227</v>
      </c>
      <c r="R7" s="92"/>
    </row>
    <row r="8" spans="1:22" s="5" customFormat="1" ht="11.4">
      <c r="A8" s="5">
        <v>51</v>
      </c>
      <c r="B8" s="5">
        <v>51</v>
      </c>
      <c r="C8" s="5">
        <v>5465</v>
      </c>
      <c r="D8" s="5" t="s">
        <v>507</v>
      </c>
      <c r="E8" s="5" t="s">
        <v>386</v>
      </c>
      <c r="F8" s="26" t="s">
        <v>460</v>
      </c>
      <c r="G8" s="26" t="s">
        <v>461</v>
      </c>
      <c r="H8" s="341">
        <v>25000000</v>
      </c>
      <c r="I8" s="341">
        <f>H8</f>
        <v>25000000</v>
      </c>
      <c r="J8" s="6">
        <v>44589</v>
      </c>
      <c r="K8" s="6">
        <f>J8+35</f>
        <v>44624</v>
      </c>
      <c r="L8" s="341">
        <v>25000000</v>
      </c>
      <c r="M8" s="6">
        <f>J8+180</f>
        <v>44769</v>
      </c>
      <c r="N8" s="341"/>
      <c r="O8" s="341"/>
      <c r="P8" s="6"/>
      <c r="Q8" s="5" t="s">
        <v>255</v>
      </c>
      <c r="R8" s="141"/>
    </row>
    <row r="9" spans="1:22" s="89" customFormat="1" ht="11.4">
      <c r="A9" s="89" t="s">
        <v>146</v>
      </c>
      <c r="B9" s="89" t="s">
        <v>146</v>
      </c>
      <c r="C9" s="89">
        <v>5506</v>
      </c>
      <c r="D9" s="89" t="s">
        <v>507</v>
      </c>
      <c r="E9" s="89" t="s">
        <v>386</v>
      </c>
      <c r="F9" s="88" t="s">
        <v>387</v>
      </c>
      <c r="G9" s="88" t="s">
        <v>388</v>
      </c>
      <c r="H9" s="509">
        <v>22000000</v>
      </c>
      <c r="I9" s="509">
        <v>22000000</v>
      </c>
      <c r="J9" s="91">
        <v>44610</v>
      </c>
      <c r="K9" s="91">
        <f>J9+35</f>
        <v>44645</v>
      </c>
      <c r="L9" s="509"/>
      <c r="M9" s="91">
        <f>J9+180</f>
        <v>44790</v>
      </c>
      <c r="N9" s="509"/>
      <c r="O9" s="509"/>
      <c r="P9" s="91"/>
      <c r="Q9" s="89" t="s">
        <v>255</v>
      </c>
      <c r="R9" s="512"/>
      <c r="S9" s="510" t="s">
        <v>573</v>
      </c>
    </row>
    <row r="10" spans="1:22">
      <c r="F10" s="36"/>
      <c r="G10" s="36"/>
      <c r="H10" s="27"/>
      <c r="I10" s="27"/>
      <c r="J10" s="11"/>
      <c r="K10" s="11"/>
      <c r="L10" s="307"/>
      <c r="M10" s="11"/>
      <c r="N10" s="307"/>
      <c r="O10" s="307"/>
      <c r="P10" s="11"/>
      <c r="R10" s="43"/>
    </row>
    <row r="11" spans="1:22">
      <c r="A11" s="43"/>
      <c r="B11" s="43"/>
      <c r="C11" s="43"/>
      <c r="D11" s="43"/>
      <c r="E11" s="1"/>
      <c r="F11" s="13" t="s">
        <v>19</v>
      </c>
      <c r="H11" s="261">
        <f>SUM(H7:H10)</f>
        <v>82000000</v>
      </c>
      <c r="I11" s="261">
        <f>SUM(I7:I10)</f>
        <v>82000000</v>
      </c>
      <c r="J11" s="10"/>
      <c r="K11" s="10"/>
      <c r="L11" s="261">
        <f>SUM(L7:L10)</f>
        <v>25000000</v>
      </c>
      <c r="M11" s="10"/>
      <c r="N11" s="261">
        <f>SUM(N7:N10)</f>
        <v>0</v>
      </c>
      <c r="O11" s="261">
        <f>SUM(O7:O10)</f>
        <v>35000000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L13" s="82"/>
      <c r="M13" s="3"/>
      <c r="Q13" s="13"/>
    </row>
    <row r="14" spans="1:22" s="1" customFormat="1">
      <c r="A14" s="5"/>
      <c r="B14" s="5"/>
      <c r="C14" s="5"/>
      <c r="E14" s="5"/>
      <c r="G14" s="5"/>
      <c r="H14" s="67"/>
      <c r="I14" s="9"/>
      <c r="K14" s="137"/>
      <c r="L14" s="9"/>
      <c r="M14" s="3"/>
      <c r="N14" s="76"/>
      <c r="Q14" s="13"/>
    </row>
    <row r="15" spans="1:22" s="1" customFormat="1">
      <c r="A15" s="5"/>
      <c r="B15" s="5"/>
      <c r="C15" s="5"/>
      <c r="E15" s="132"/>
      <c r="F15" s="58" t="s">
        <v>75</v>
      </c>
      <c r="G15" s="5"/>
      <c r="H15" s="77">
        <f>E1-I11+O11+G18</f>
        <v>47075195</v>
      </c>
      <c r="I15" s="289"/>
      <c r="J15" s="137"/>
      <c r="L15" s="9"/>
      <c r="M15" s="137"/>
      <c r="Q15" s="13"/>
    </row>
    <row r="16" spans="1:22">
      <c r="H16" s="65"/>
    </row>
    <row r="17" spans="3:8">
      <c r="C17" s="13">
        <v>5438</v>
      </c>
      <c r="D17" s="13" t="s">
        <v>77</v>
      </c>
      <c r="E17" s="13" t="s">
        <v>386</v>
      </c>
      <c r="F17" s="13" t="s">
        <v>94</v>
      </c>
      <c r="G17" s="10">
        <v>22000000</v>
      </c>
      <c r="H17" s="208" t="s">
        <v>572</v>
      </c>
    </row>
    <row r="18" spans="3:8">
      <c r="G18" s="343">
        <f>SUM(G17)</f>
        <v>22000000</v>
      </c>
      <c r="H18" s="66"/>
    </row>
    <row r="19" spans="3:8">
      <c r="H19" s="66"/>
    </row>
    <row r="20" spans="3:8">
      <c r="H20" s="65"/>
    </row>
    <row r="21" spans="3:8">
      <c r="H21" s="65"/>
    </row>
    <row r="22" spans="3:8">
      <c r="H22" s="65"/>
    </row>
    <row r="23" spans="3:8">
      <c r="H23" s="65"/>
    </row>
    <row r="24" spans="3:8">
      <c r="H24" s="65"/>
    </row>
    <row r="25" spans="3:8">
      <c r="H25" s="65"/>
    </row>
    <row r="26" spans="3:8">
      <c r="H26" s="65"/>
    </row>
    <row r="27" spans="3:8">
      <c r="H27" s="65"/>
    </row>
    <row r="28" spans="3:8">
      <c r="H28" s="65"/>
    </row>
  </sheetData>
  <phoneticPr fontId="0" type="noConversion"/>
  <pageMargins left="0.75" right="0.75" top="1" bottom="1" header="0.5" footer="0.5"/>
  <pageSetup scale="72" orientation="landscape" horizontalDpi="4294967292" verticalDpi="4294967292"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tabColor theme="0" tint="-0.499984740745262"/>
    <pageSetUpPr fitToPage="1"/>
  </sheetPr>
  <dimension ref="A1:V17"/>
  <sheetViews>
    <sheetView zoomScaleNormal="100" workbookViewId="0">
      <selection activeCell="H14" sqref="H14"/>
    </sheetView>
  </sheetViews>
  <sheetFormatPr defaultColWidth="10.875" defaultRowHeight="12"/>
  <cols>
    <col min="1" max="1" width="9.75" style="13" customWidth="1"/>
    <col min="2" max="2" width="7.125" style="13" bestFit="1" customWidth="1"/>
    <col min="3" max="3" width="10.125" style="13" bestFit="1" customWidth="1"/>
    <col min="4" max="4" width="8.625" style="13" bestFit="1" customWidth="1"/>
    <col min="5" max="5" width="26.375" style="13" customWidth="1"/>
    <col min="6" max="6" width="33.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ROUND(Totals!$H$8*Totals!$P$17, 0)</f>
        <v>20940949</v>
      </c>
      <c r="F1" s="18"/>
      <c r="G1" s="18"/>
      <c r="H1" s="324"/>
      <c r="I1" s="325"/>
      <c r="J1" s="281"/>
      <c r="K1" s="281"/>
      <c r="L1" s="325"/>
      <c r="M1" s="281"/>
      <c r="N1" s="324"/>
      <c r="O1" s="324"/>
      <c r="P1" s="281"/>
      <c r="R1" s="282"/>
      <c r="S1" s="5"/>
      <c r="T1" s="5"/>
      <c r="U1" s="5"/>
      <c r="V1" s="5"/>
    </row>
    <row r="2" spans="1:22" s="5" customFormat="1" ht="11.4">
      <c r="A2" s="25" t="s">
        <v>41</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286"/>
      <c r="O7" s="286"/>
      <c r="P7" s="11"/>
      <c r="R7" s="43"/>
    </row>
    <row r="8" spans="1:22">
      <c r="F8" s="36"/>
      <c r="G8" s="36"/>
      <c r="H8" s="286"/>
      <c r="I8" s="286"/>
      <c r="J8" s="11"/>
      <c r="K8" s="11"/>
      <c r="L8" s="307"/>
      <c r="M8" s="11"/>
      <c r="N8" s="286"/>
      <c r="O8" s="286"/>
      <c r="P8" s="11"/>
      <c r="R8" s="43"/>
    </row>
    <row r="9" spans="1:22">
      <c r="F9" s="36"/>
      <c r="G9" s="36"/>
      <c r="H9" s="286"/>
      <c r="I9" s="286"/>
      <c r="J9" s="11"/>
      <c r="K9" s="11"/>
      <c r="L9" s="307"/>
      <c r="M9" s="11"/>
      <c r="N9" s="286"/>
      <c r="O9" s="286"/>
      <c r="P9" s="11"/>
      <c r="R9" s="43"/>
    </row>
    <row r="10" spans="1:22">
      <c r="A10" s="43"/>
      <c r="B10" s="43"/>
      <c r="C10" s="43"/>
      <c r="D10" s="43"/>
      <c r="E10" s="1"/>
      <c r="F10" s="13" t="s">
        <v>19</v>
      </c>
      <c r="H10" s="261">
        <f>SUM(H7:H9)</f>
        <v>0</v>
      </c>
      <c r="I10" s="261">
        <f>SUM(I7:I9)</f>
        <v>0</v>
      </c>
      <c r="J10" s="10"/>
      <c r="K10" s="10"/>
      <c r="L10" s="261">
        <f>SUM(L7:L9)</f>
        <v>0</v>
      </c>
      <c r="M10" s="10"/>
      <c r="N10" s="261">
        <f t="shared" ref="N10:O10" si="0">SUM(N7:N9)</f>
        <v>0</v>
      </c>
      <c r="O10" s="261">
        <f t="shared" si="0"/>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M12" s="3"/>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20940949</v>
      </c>
      <c r="I14" s="289"/>
      <c r="J14" s="137"/>
      <c r="L14" s="9"/>
      <c r="M14" s="137"/>
      <c r="Q14" s="13"/>
    </row>
    <row r="15" spans="1:22">
      <c r="H15" s="65"/>
      <c r="N15" s="51"/>
    </row>
    <row r="16" spans="1:22">
      <c r="G16" s="10"/>
      <c r="H16" s="66"/>
      <c r="N16" s="51"/>
    </row>
    <row r="17" spans="7:14">
      <c r="G17" s="343">
        <f>SUM(G16)</f>
        <v>0</v>
      </c>
      <c r="H17" s="66"/>
      <c r="N17" s="51"/>
    </row>
  </sheetData>
  <phoneticPr fontId="0" type="noConversion"/>
  <pageMargins left="0.75" right="0.75" top="1" bottom="1" header="0.5" footer="0.5"/>
  <pageSetup scale="50" orientation="landscape" horizontalDpi="4294967292" vertic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F12C5-4310-4635-BDFE-166BB3AF30C3}">
  <dimension ref="A1:T48"/>
  <sheetViews>
    <sheetView workbookViewId="0">
      <selection activeCell="F14" sqref="F14"/>
    </sheetView>
  </sheetViews>
  <sheetFormatPr defaultRowHeight="11.4"/>
  <cols>
    <col min="1" max="1" width="15.125" bestFit="1" customWidth="1"/>
    <col min="2" max="2" width="13.25" customWidth="1"/>
    <col min="3" max="3" width="40" bestFit="1" customWidth="1"/>
    <col min="4" max="4" width="37.125" bestFit="1" customWidth="1"/>
    <col min="5" max="5" width="12.125" bestFit="1" customWidth="1"/>
    <col min="6" max="7" width="15.75" bestFit="1" customWidth="1"/>
    <col min="8" max="8" width="15.25" bestFit="1" customWidth="1"/>
    <col min="9" max="9" width="11.875" bestFit="1" customWidth="1"/>
    <col min="10" max="10" width="15.75" bestFit="1" customWidth="1"/>
    <col min="11" max="11" width="11.875" bestFit="1" customWidth="1"/>
    <col min="12" max="12" width="17.625" bestFit="1" customWidth="1"/>
    <col min="13" max="13" width="21.625" bestFit="1" customWidth="1"/>
    <col min="14" max="14" width="11" bestFit="1" customWidth="1"/>
    <col min="15" max="16" width="9.125" customWidth="1"/>
    <col min="17" max="17" width="12.25" bestFit="1" customWidth="1"/>
    <col min="18" max="18" width="9.125" customWidth="1"/>
    <col min="20" max="20" width="26.75" bestFit="1" customWidth="1"/>
  </cols>
  <sheetData>
    <row r="1" spans="1:20" ht="13.2">
      <c r="A1" s="158"/>
      <c r="B1" s="158" t="s">
        <v>422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295</v>
      </c>
    </row>
    <row r="5" spans="1:20">
      <c r="A5" s="31" t="s">
        <v>243</v>
      </c>
    </row>
    <row r="6" spans="1:20">
      <c r="A6" s="31"/>
      <c r="H6" s="198"/>
      <c r="K6" s="198"/>
    </row>
    <row r="7" spans="1:20" ht="12.75" customHeight="1">
      <c r="A7" s="31" t="s">
        <v>148</v>
      </c>
      <c r="H7" s="198"/>
      <c r="K7" s="198"/>
    </row>
    <row r="8" spans="1:20" s="1" customFormat="1" ht="12">
      <c r="A8" s="136"/>
      <c r="F8" s="9"/>
      <c r="G8" s="9"/>
      <c r="H8" s="3"/>
      <c r="I8" s="3"/>
      <c r="J8" s="9"/>
      <c r="L8" s="9"/>
      <c r="M8" s="9"/>
    </row>
    <row r="9" spans="1:20" ht="12">
      <c r="A9" s="31" t="s">
        <v>91</v>
      </c>
      <c r="D9" s="1"/>
      <c r="H9" s="198"/>
    </row>
    <row r="10" spans="1:20" ht="12">
      <c r="A10" s="136"/>
      <c r="B10" s="1"/>
      <c r="C10" s="1"/>
      <c r="D10" s="1"/>
      <c r="E10" s="1"/>
      <c r="F10" s="9"/>
      <c r="H10" s="198"/>
      <c r="K10" s="198"/>
    </row>
    <row r="11" spans="1:20" ht="12">
      <c r="F11" s="192">
        <f>SUM(F6:F10)</f>
        <v>0</v>
      </c>
      <c r="G11" s="192">
        <f>SUM(G6:G10)</f>
        <v>0</v>
      </c>
      <c r="H11" s="132"/>
      <c r="I11" s="151"/>
      <c r="J11" s="192">
        <f>SUM(J6:J10)</f>
        <v>0</v>
      </c>
      <c r="K11" s="132"/>
      <c r="L11" s="192">
        <f>SUM(L6:L10)</f>
        <v>0</v>
      </c>
      <c r="M11" s="192">
        <f>SUM(M6:M10)</f>
        <v>0</v>
      </c>
    </row>
    <row r="12" spans="1:20">
      <c r="H12" s="198"/>
      <c r="I12" s="198"/>
    </row>
    <row r="13" spans="1:20" ht="12" thickBot="1">
      <c r="G13" s="196"/>
      <c r="H13" s="198"/>
      <c r="I13" s="198"/>
    </row>
    <row r="14" spans="1:20" ht="12.6" thickBot="1">
      <c r="D14" s="194" t="s">
        <v>153</v>
      </c>
      <c r="E14" s="195"/>
      <c r="F14" s="433"/>
      <c r="H14" s="410"/>
      <c r="I14" s="198"/>
      <c r="T14" s="322"/>
    </row>
    <row r="15" spans="1:20">
      <c r="F15" s="191"/>
      <c r="H15" s="198"/>
      <c r="I15" s="198"/>
    </row>
    <row r="16" spans="1:20" ht="12" thickBot="1">
      <c r="F16" s="196"/>
    </row>
    <row r="17" spans="1:20" ht="13.2">
      <c r="A17" s="158"/>
      <c r="B17" s="158" t="s">
        <v>423</v>
      </c>
      <c r="C17" s="130"/>
      <c r="D17" s="130"/>
      <c r="E17" s="130"/>
      <c r="F17" s="180"/>
      <c r="G17" s="180"/>
      <c r="H17" s="180"/>
      <c r="I17" s="180"/>
      <c r="J17" s="180"/>
      <c r="K17" s="180"/>
      <c r="L17" s="180"/>
      <c r="M17" s="180"/>
      <c r="N17" s="279"/>
    </row>
    <row r="18" spans="1:20" ht="13.2">
      <c r="A18" s="152" t="s">
        <v>32</v>
      </c>
      <c r="B18" s="271" t="s">
        <v>37</v>
      </c>
      <c r="C18" s="272" t="s">
        <v>31</v>
      </c>
      <c r="D18" s="280" t="s">
        <v>49</v>
      </c>
      <c r="E18" s="280"/>
      <c r="F18" s="175" t="s">
        <v>84</v>
      </c>
      <c r="G18" s="175" t="s">
        <v>242</v>
      </c>
      <c r="H18" s="274" t="s">
        <v>242</v>
      </c>
      <c r="I18" s="274"/>
      <c r="J18" s="176"/>
      <c r="K18" s="274"/>
      <c r="L18" s="175" t="s">
        <v>88</v>
      </c>
      <c r="M18" s="275" t="s">
        <v>89</v>
      </c>
      <c r="N18" s="366" t="s">
        <v>22</v>
      </c>
    </row>
    <row r="19" spans="1:20" ht="13.2">
      <c r="A19" s="152" t="s">
        <v>48</v>
      </c>
      <c r="B19" s="277"/>
      <c r="C19" s="272"/>
      <c r="D19" s="280"/>
      <c r="E19" s="280"/>
      <c r="F19" s="175" t="s">
        <v>55</v>
      </c>
      <c r="G19" s="175" t="s">
        <v>55</v>
      </c>
      <c r="H19" s="274" t="s">
        <v>9</v>
      </c>
      <c r="I19" s="274"/>
      <c r="J19" s="176"/>
      <c r="K19" s="274" t="s">
        <v>18</v>
      </c>
      <c r="L19" s="175" t="s">
        <v>55</v>
      </c>
      <c r="M19" s="275" t="s">
        <v>90</v>
      </c>
      <c r="N19" s="366" t="s">
        <v>5</v>
      </c>
    </row>
    <row r="20" spans="1:20" ht="13.8" thickBot="1">
      <c r="A20" s="153" t="s">
        <v>17</v>
      </c>
      <c r="B20" s="154"/>
      <c r="C20" s="155"/>
      <c r="D20" s="157"/>
      <c r="E20" s="157"/>
      <c r="F20" s="177"/>
      <c r="G20" s="177"/>
      <c r="H20" s="178"/>
      <c r="I20" s="178"/>
      <c r="J20" s="181"/>
      <c r="K20" s="178"/>
      <c r="L20" s="177"/>
      <c r="M20" s="177"/>
      <c r="N20" s="367" t="s">
        <v>9</v>
      </c>
    </row>
    <row r="21" spans="1:20" s="1" customFormat="1" ht="12">
      <c r="A21" s="136"/>
      <c r="F21" s="9"/>
      <c r="G21" s="9"/>
      <c r="H21" s="3"/>
      <c r="J21" s="9"/>
      <c r="L21" s="9"/>
      <c r="M21" s="9"/>
      <c r="O21" s="13"/>
      <c r="P21" s="13"/>
      <c r="Q21" s="11"/>
    </row>
    <row r="22" spans="1:20" ht="12" thickBot="1"/>
    <row r="23" spans="1:20" ht="12.6" thickBot="1">
      <c r="D23" s="194" t="s">
        <v>241</v>
      </c>
      <c r="E23" s="195"/>
      <c r="F23" s="197"/>
    </row>
    <row r="24" spans="1:20">
      <c r="F24" s="321"/>
    </row>
    <row r="25" spans="1:20" ht="12" thickBot="1"/>
    <row r="26" spans="1:20" ht="13.2">
      <c r="A26" s="158"/>
      <c r="B26" s="158" t="s">
        <v>424</v>
      </c>
      <c r="C26" s="130"/>
      <c r="D26" s="130"/>
      <c r="E26" s="130"/>
      <c r="F26" s="180"/>
      <c r="G26" s="180"/>
      <c r="H26" s="180"/>
      <c r="I26" s="180"/>
      <c r="J26" s="180"/>
      <c r="K26" s="180"/>
      <c r="L26" s="180"/>
      <c r="M26" s="180"/>
      <c r="N26" s="279"/>
    </row>
    <row r="27" spans="1:20" ht="13.2">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row>
    <row r="31" spans="1:20" ht="12">
      <c r="A31" s="13"/>
      <c r="B31" s="13"/>
      <c r="C31" s="13"/>
      <c r="D31" s="13"/>
      <c r="E31" s="13"/>
      <c r="F31" s="286"/>
      <c r="G31" s="184"/>
      <c r="H31" s="184"/>
      <c r="I31" s="184"/>
      <c r="J31" s="184"/>
      <c r="K31" s="184"/>
      <c r="M31" s="202"/>
      <c r="N31" s="151"/>
    </row>
    <row r="32" spans="1:20" ht="12">
      <c r="F32" s="184"/>
      <c r="G32" s="184"/>
      <c r="H32" s="184"/>
      <c r="I32" s="184"/>
      <c r="J32" s="192">
        <f>SUM(J31:J31)</f>
        <v>0</v>
      </c>
      <c r="K32" s="402"/>
      <c r="L32" s="192">
        <f>SUM(L31:L31)</f>
        <v>0</v>
      </c>
      <c r="M32" s="192">
        <f>SUM(M31:M31)</f>
        <v>0</v>
      </c>
      <c r="N32" s="151"/>
      <c r="T32" s="322">
        <f>SUM(T31:T31)</f>
        <v>0</v>
      </c>
    </row>
    <row r="33" spans="1:20" ht="12.6" thickBot="1">
      <c r="F33" s="184"/>
      <c r="G33" s="184"/>
      <c r="H33" s="184"/>
      <c r="I33" s="184"/>
      <c r="J33" s="184"/>
      <c r="K33" s="184"/>
      <c r="N33" s="151"/>
    </row>
    <row r="34" spans="1:20" ht="12">
      <c r="A34" s="168" t="s">
        <v>94</v>
      </c>
      <c r="F34" s="184"/>
      <c r="G34" s="187"/>
      <c r="H34" s="151"/>
      <c r="I34" s="184"/>
      <c r="J34" s="184"/>
      <c r="K34" s="287"/>
      <c r="N34" s="151"/>
    </row>
    <row r="35" spans="1:20" s="185" customFormat="1" ht="12">
      <c r="A35" s="13"/>
      <c r="B35" s="13"/>
      <c r="C35" s="13"/>
      <c r="D35" s="36"/>
      <c r="E35" s="36"/>
      <c r="F35" s="286"/>
      <c r="G35" s="123"/>
      <c r="H35" s="7"/>
      <c r="I35" s="183"/>
      <c r="J35" s="123"/>
      <c r="K35" s="183"/>
      <c r="L35" s="32"/>
      <c r="M35" s="123"/>
      <c r="N35" s="183"/>
      <c r="T35" s="62"/>
    </row>
    <row r="36" spans="1:20" ht="12">
      <c r="A36" s="5"/>
      <c r="B36" s="5"/>
      <c r="C36" s="5"/>
      <c r="D36" s="26"/>
      <c r="E36" s="26"/>
      <c r="F36" s="341"/>
      <c r="G36" s="71"/>
      <c r="H36" s="3"/>
      <c r="I36" s="3"/>
      <c r="J36" s="77">
        <f>SUM(J35:J35)</f>
        <v>0</v>
      </c>
      <c r="K36" s="7"/>
      <c r="L36" s="77">
        <f>SUM(L35:L35)</f>
        <v>0</v>
      </c>
      <c r="M36" s="77">
        <f>SUM(M35:M35)</f>
        <v>0</v>
      </c>
      <c r="N36" s="151"/>
      <c r="T36" s="77">
        <f>SUM(T35:T35)</f>
        <v>0</v>
      </c>
    </row>
    <row r="37" spans="1:20" ht="12.6" thickBot="1">
      <c r="F37" s="184"/>
      <c r="G37" s="184"/>
      <c r="H37" s="184"/>
      <c r="I37" s="184"/>
      <c r="J37" s="184"/>
      <c r="K37" s="184"/>
      <c r="N37" s="151"/>
    </row>
    <row r="38" spans="1:20" ht="12">
      <c r="A38" s="168" t="s">
        <v>60</v>
      </c>
      <c r="F38" s="184"/>
      <c r="G38" s="187"/>
      <c r="H38" s="151"/>
      <c r="I38" s="184"/>
      <c r="J38" s="184"/>
      <c r="K38" s="184"/>
      <c r="N38" s="151"/>
    </row>
    <row r="39" spans="1:20" ht="12">
      <c r="N39" s="151"/>
    </row>
    <row r="40" spans="1:20" ht="12">
      <c r="I40" s="196"/>
      <c r="J40" s="338">
        <f>SUM(J39:J39)</f>
        <v>0</v>
      </c>
      <c r="K40" s="185"/>
      <c r="L40" s="77">
        <f>SUM(L39:L39)</f>
        <v>0</v>
      </c>
      <c r="M40" s="77">
        <f>SUM(M39:M39)</f>
        <v>0</v>
      </c>
      <c r="N40" s="151"/>
      <c r="T40" s="77">
        <f>SUM(T39:T39)</f>
        <v>0</v>
      </c>
    </row>
    <row r="41" spans="1:20" ht="12">
      <c r="I41" s="196"/>
      <c r="N41" s="151"/>
    </row>
    <row r="43" spans="1:20" ht="12.6" thickBot="1">
      <c r="J43" s="339">
        <f>J11+J32+J36+J40</f>
        <v>0</v>
      </c>
      <c r="M43" s="339">
        <f>M40+M36+M32+F14</f>
        <v>0</v>
      </c>
      <c r="O43" s="263"/>
      <c r="P43" s="263"/>
      <c r="Q43" s="263"/>
      <c r="R43" s="263"/>
      <c r="T43" s="337">
        <f>T40+T36+T32+T14</f>
        <v>0</v>
      </c>
    </row>
    <row r="44" spans="1:20" ht="12" thickTop="1">
      <c r="M44" s="196"/>
    </row>
    <row r="46" spans="1:20">
      <c r="H46" s="198"/>
    </row>
    <row r="47" spans="1:20">
      <c r="H47" s="198"/>
    </row>
    <row r="48" spans="1:20" ht="12">
      <c r="A48" s="13"/>
      <c r="B48" s="13"/>
      <c r="C48" s="13"/>
      <c r="D48" s="36"/>
      <c r="E48" s="36"/>
      <c r="F48" s="409"/>
      <c r="G48" s="286"/>
      <c r="H48" s="11"/>
      <c r="I48" s="11"/>
      <c r="J48" s="286"/>
      <c r="K48" s="11"/>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2">
    <tabColor theme="0" tint="-0.499984740745262"/>
  </sheetPr>
  <dimension ref="A1:V28"/>
  <sheetViews>
    <sheetView zoomScaleNormal="100" workbookViewId="0">
      <selection activeCell="H14" sqref="H14"/>
    </sheetView>
  </sheetViews>
  <sheetFormatPr defaultColWidth="10.875" defaultRowHeight="12"/>
  <cols>
    <col min="1" max="1" width="9.875" style="13" customWidth="1"/>
    <col min="2" max="2" width="7.125" style="13" bestFit="1" customWidth="1"/>
    <col min="3" max="3" width="10.125" style="13" bestFit="1" customWidth="1"/>
    <col min="4" max="4" width="13.25" style="13" bestFit="1" customWidth="1"/>
    <col min="5" max="5" width="26.875" style="13" customWidth="1"/>
    <col min="6" max="6" width="29.625" style="13" customWidth="1"/>
    <col min="7" max="7" width="15.5" style="13" bestFit="1" customWidth="1"/>
    <col min="8" max="8" width="13.875" style="12" bestFit="1" customWidth="1"/>
    <col min="9" max="9" width="12.75" style="35" customWidth="1"/>
    <col min="10" max="10" width="15.25" style="13" bestFit="1" customWidth="1"/>
    <col min="11" max="11" width="10.875" style="13" bestFit="1" customWidth="1"/>
    <col min="12" max="12" width="12.625" style="35" bestFit="1" customWidth="1"/>
    <col min="13" max="13" width="10.875" style="13" bestFit="1" customWidth="1"/>
    <col min="14" max="14" width="15.25" style="12" customWidth="1"/>
    <col min="15" max="15" width="12.25" style="12" bestFit="1" customWidth="1"/>
    <col min="16" max="16" width="10.625" style="13" bestFit="1" customWidth="1"/>
    <col min="17" max="17" width="10.25" style="13" bestFit="1" customWidth="1"/>
    <col min="18" max="18" width="34.375" style="13" customWidth="1"/>
    <col min="19" max="19" width="13.25" style="13" bestFit="1" customWidth="1"/>
    <col min="20" max="16384" width="10.875" style="13"/>
  </cols>
  <sheetData>
    <row r="1" spans="1:22" s="17" customFormat="1" ht="11.4">
      <c r="A1" s="16" t="s">
        <v>12</v>
      </c>
      <c r="B1" s="288"/>
      <c r="C1" s="288"/>
      <c r="E1" s="372">
        <f>ROUND(Totals!$H$8*Totals!$P$18, 0)</f>
        <v>49282006</v>
      </c>
      <c r="F1" s="18"/>
      <c r="G1" s="18"/>
      <c r="H1" s="324"/>
      <c r="I1" s="325"/>
      <c r="J1" s="281"/>
      <c r="K1" s="281"/>
      <c r="L1" s="325"/>
      <c r="M1" s="281"/>
      <c r="N1" s="324"/>
      <c r="O1" s="324"/>
      <c r="P1" s="281"/>
      <c r="R1" s="282"/>
      <c r="S1" s="5"/>
      <c r="T1" s="5"/>
      <c r="U1" s="5"/>
      <c r="V1" s="5"/>
    </row>
    <row r="2" spans="1:22" s="5" customFormat="1" ht="11.4">
      <c r="A2" s="25" t="s">
        <v>73</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89" customFormat="1" ht="11.4">
      <c r="A7" s="89">
        <v>47</v>
      </c>
      <c r="B7" s="89">
        <v>47</v>
      </c>
      <c r="C7" s="89">
        <v>5470</v>
      </c>
      <c r="D7" s="89" t="s">
        <v>507</v>
      </c>
      <c r="E7" s="89" t="s">
        <v>374</v>
      </c>
      <c r="F7" s="88" t="s">
        <v>375</v>
      </c>
      <c r="G7" s="88" t="s">
        <v>376</v>
      </c>
      <c r="H7" s="509">
        <v>37000000</v>
      </c>
      <c r="I7" s="509">
        <f>H7</f>
        <v>37000000</v>
      </c>
      <c r="J7" s="91">
        <v>44595</v>
      </c>
      <c r="K7" s="91">
        <f>J7+35</f>
        <v>44630</v>
      </c>
      <c r="L7" s="509">
        <v>37000000</v>
      </c>
      <c r="M7" s="91">
        <f>J7+180</f>
        <v>44775</v>
      </c>
      <c r="N7" s="509"/>
      <c r="O7" s="509"/>
      <c r="P7" s="91"/>
      <c r="Q7" s="89" t="s">
        <v>255</v>
      </c>
      <c r="R7" s="513"/>
      <c r="S7" s="510" t="s">
        <v>539</v>
      </c>
    </row>
    <row r="8" spans="1:22">
      <c r="F8" s="36"/>
      <c r="G8" s="36"/>
      <c r="H8" s="286"/>
      <c r="I8" s="286"/>
      <c r="J8" s="11"/>
      <c r="K8" s="11"/>
      <c r="L8" s="286"/>
      <c r="M8" s="11"/>
      <c r="N8" s="286"/>
      <c r="O8" s="286"/>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37000000</v>
      </c>
      <c r="I10" s="261">
        <f>SUM(I7:I9)</f>
        <v>37000000</v>
      </c>
      <c r="J10" s="10"/>
      <c r="K10" s="10"/>
      <c r="L10" s="261">
        <f>SUM(L7:L9)</f>
        <v>37000000</v>
      </c>
      <c r="M10" s="10"/>
      <c r="N10" s="348">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M13" s="3"/>
      <c r="N13" s="76"/>
      <c r="Q13" s="13"/>
    </row>
    <row r="14" spans="1:22" s="1" customFormat="1">
      <c r="A14" s="5"/>
      <c r="B14" s="5"/>
      <c r="C14" s="5"/>
      <c r="E14" s="132"/>
      <c r="F14" s="58" t="s">
        <v>75</v>
      </c>
      <c r="G14" s="5"/>
      <c r="H14" s="77">
        <f>+E1-I10+O10+G17</f>
        <v>49282006</v>
      </c>
      <c r="I14" s="289"/>
      <c r="J14" s="137"/>
      <c r="L14" s="9"/>
      <c r="M14" s="137"/>
      <c r="Q14" s="13"/>
    </row>
    <row r="16" spans="1:22">
      <c r="C16" s="13">
        <v>5393</v>
      </c>
      <c r="D16" s="13" t="s">
        <v>77</v>
      </c>
      <c r="E16" s="13" t="s">
        <v>374</v>
      </c>
      <c r="F16" s="13" t="s">
        <v>94</v>
      </c>
      <c r="G16" s="503">
        <v>37000000</v>
      </c>
      <c r="H16" s="498" t="s">
        <v>537</v>
      </c>
      <c r="K16" s="11"/>
    </row>
    <row r="17" spans="7:15">
      <c r="G17" s="343">
        <f>SUM(G16)</f>
        <v>37000000</v>
      </c>
      <c r="L17" s="49"/>
      <c r="N17" s="13"/>
      <c r="O17" s="49"/>
    </row>
    <row r="21" spans="7:15">
      <c r="G21" s="36"/>
      <c r="L21" s="13"/>
      <c r="N21" s="13"/>
      <c r="O21" s="13"/>
    </row>
    <row r="28" spans="7:15">
      <c r="J28" s="35"/>
      <c r="L28" s="13"/>
      <c r="N28" s="13"/>
      <c r="O28" s="13"/>
    </row>
  </sheetData>
  <pageMargins left="0.75" right="0.75" top="1" bottom="1" header="0.5" footer="0.5"/>
  <pageSetup scale="5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theme="0" tint="-0.499984740745262"/>
  </sheetPr>
  <dimension ref="A1:V28"/>
  <sheetViews>
    <sheetView zoomScaleNormal="100" workbookViewId="0">
      <selection activeCell="H14" sqref="H14"/>
    </sheetView>
  </sheetViews>
  <sheetFormatPr defaultColWidth="10.875" defaultRowHeight="12"/>
  <cols>
    <col min="1" max="1" width="10.125" style="13" customWidth="1"/>
    <col min="2" max="2" width="7.125" style="13" bestFit="1" customWidth="1"/>
    <col min="3" max="3" width="10.125" style="13" bestFit="1" customWidth="1"/>
    <col min="4" max="4" width="8.625" style="13" bestFit="1" customWidth="1"/>
    <col min="5" max="5" width="28.875" style="13" customWidth="1"/>
    <col min="6" max="6" width="31.1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5.25" style="13" bestFit="1" customWidth="1"/>
    <col min="19" max="16384" width="10.875" style="13"/>
  </cols>
  <sheetData>
    <row r="1" spans="1:22" s="17" customFormat="1" ht="11.4">
      <c r="A1" s="16" t="s">
        <v>12</v>
      </c>
      <c r="B1" s="288"/>
      <c r="C1" s="288"/>
      <c r="E1" s="372">
        <f>ROUND(Totals!$H$8*Totals!$P$19, 0)</f>
        <v>17474104</v>
      </c>
      <c r="F1" s="18"/>
      <c r="G1" s="18"/>
      <c r="H1" s="324"/>
      <c r="I1" s="325"/>
      <c r="J1" s="281"/>
      <c r="K1" s="281"/>
      <c r="L1" s="325"/>
      <c r="M1" s="281"/>
      <c r="N1" s="324"/>
      <c r="O1" s="324"/>
      <c r="P1" s="281"/>
      <c r="R1" s="282"/>
      <c r="S1" s="5"/>
      <c r="T1" s="5"/>
      <c r="U1" s="5"/>
      <c r="V1" s="5"/>
    </row>
    <row r="2" spans="1:22" s="5" customFormat="1" ht="11.4">
      <c r="A2" s="25" t="s">
        <v>72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7"/>
      <c r="I7" s="27"/>
      <c r="J7" s="11"/>
      <c r="K7" s="11"/>
      <c r="L7" s="307"/>
      <c r="M7" s="11"/>
      <c r="N7" s="307"/>
      <c r="O7" s="307"/>
      <c r="P7" s="11"/>
      <c r="R7" s="43"/>
    </row>
    <row r="8" spans="1:22">
      <c r="F8" s="36"/>
      <c r="G8" s="36"/>
      <c r="H8" s="27"/>
      <c r="I8" s="27"/>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17474104</v>
      </c>
      <c r="I14" s="289"/>
      <c r="J14" s="137"/>
      <c r="L14" s="9"/>
      <c r="M14" s="137"/>
      <c r="Q14" s="13"/>
    </row>
    <row r="15" spans="1:22">
      <c r="I15" s="96"/>
    </row>
    <row r="17" spans="7:10">
      <c r="G17" s="295"/>
    </row>
    <row r="28" spans="7:10">
      <c r="J28" s="35"/>
    </row>
  </sheetData>
  <pageMargins left="0.75" right="0.75" top="1" bottom="1" header="0.5" footer="0.5"/>
  <pageSetup scale="5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6">
    <tabColor theme="0" tint="-0.499984740745262"/>
  </sheetPr>
  <dimension ref="A1:V28"/>
  <sheetViews>
    <sheetView zoomScaleNormal="100" workbookViewId="0">
      <selection activeCell="H14" sqref="H14"/>
    </sheetView>
  </sheetViews>
  <sheetFormatPr defaultColWidth="10.875" defaultRowHeight="12"/>
  <cols>
    <col min="1" max="1" width="10.375" style="13" customWidth="1"/>
    <col min="2" max="2" width="7.125" style="13" bestFit="1" customWidth="1"/>
    <col min="3" max="3" width="10.125" style="13" bestFit="1" customWidth="1"/>
    <col min="4" max="4" width="8.625" style="13" bestFit="1" customWidth="1"/>
    <col min="5" max="5" width="30" style="13" customWidth="1"/>
    <col min="6" max="6" width="30.25" style="13" customWidth="1"/>
    <col min="7" max="7" width="11.25" style="13" bestFit="1" customWidth="1"/>
    <col min="8" max="8" width="13.875" style="12" bestFit="1" customWidth="1"/>
    <col min="9" max="9" width="12.75" style="35" bestFit="1" customWidth="1"/>
    <col min="10" max="10" width="15.25" style="13" bestFit="1" customWidth="1"/>
    <col min="11" max="11" width="10.875" style="13" bestFit="1" customWidth="1"/>
    <col min="12" max="12" width="12.625" style="35" bestFit="1" customWidth="1"/>
    <col min="13" max="13" width="10.875" style="13" bestFit="1" customWidth="1"/>
    <col min="14" max="14" width="15.25" style="12" bestFit="1" customWidth="1"/>
    <col min="15" max="15" width="12.25" style="12" bestFit="1" customWidth="1"/>
    <col min="16" max="16" width="10.625" style="13" bestFit="1" customWidth="1"/>
    <col min="17" max="17" width="10.25" style="13" bestFit="1" customWidth="1"/>
    <col min="18" max="18" width="34.375" style="13" customWidth="1"/>
    <col min="19" max="16384" width="10.875" style="13"/>
  </cols>
  <sheetData>
    <row r="1" spans="1:22" s="17" customFormat="1" ht="11.4">
      <c r="A1" s="16" t="s">
        <v>12</v>
      </c>
      <c r="B1" s="288"/>
      <c r="C1" s="288"/>
      <c r="E1" s="372">
        <f>ROUND(Totals!$H$8*Totals!$P$20, 0)</f>
        <v>23985472</v>
      </c>
      <c r="F1" s="18"/>
      <c r="G1" s="18"/>
      <c r="H1" s="324"/>
      <c r="I1" s="325"/>
      <c r="J1" s="281"/>
      <c r="K1" s="281"/>
      <c r="L1" s="325"/>
      <c r="M1" s="281"/>
      <c r="N1" s="324"/>
      <c r="O1" s="324"/>
      <c r="P1" s="281"/>
      <c r="R1" s="282"/>
      <c r="S1" s="5"/>
      <c r="T1" s="5"/>
      <c r="U1" s="5"/>
      <c r="V1" s="5"/>
    </row>
    <row r="2" spans="1:22" s="5" customFormat="1" ht="11.4">
      <c r="A2" s="25" t="s">
        <v>62</v>
      </c>
      <c r="B2" s="48"/>
      <c r="C2" s="48"/>
      <c r="E2" s="26"/>
      <c r="F2" s="26"/>
      <c r="G2" s="26"/>
      <c r="H2" s="46"/>
      <c r="I2" s="47"/>
      <c r="J2" s="6"/>
      <c r="K2" s="6"/>
      <c r="L2" s="47"/>
      <c r="M2" s="6"/>
      <c r="N2" s="46"/>
      <c r="O2" s="46"/>
      <c r="P2" s="6"/>
      <c r="R2" s="283"/>
    </row>
    <row r="3" spans="1:22">
      <c r="A3" s="136"/>
      <c r="H3" s="44"/>
      <c r="I3" s="45"/>
      <c r="J3" s="11"/>
      <c r="K3" s="11"/>
      <c r="L3" s="45"/>
      <c r="M3" s="11"/>
      <c r="N3" s="44"/>
      <c r="O3" s="44"/>
      <c r="P3" s="11"/>
      <c r="Q3" s="1"/>
      <c r="R3" s="284"/>
      <c r="S3" s="5"/>
      <c r="T3" s="5"/>
      <c r="U3" s="5"/>
      <c r="V3" s="5"/>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c r="F7" s="36"/>
      <c r="G7" s="36"/>
      <c r="H7" s="286"/>
      <c r="I7" s="286"/>
      <c r="J7" s="11"/>
      <c r="K7" s="11"/>
      <c r="L7" s="307"/>
      <c r="M7" s="11"/>
      <c r="N7" s="307"/>
      <c r="O7" s="307"/>
      <c r="P7" s="11"/>
      <c r="R7" s="43"/>
    </row>
    <row r="8" spans="1:22">
      <c r="F8" s="36"/>
      <c r="G8" s="36"/>
      <c r="H8" s="286"/>
      <c r="I8" s="286"/>
      <c r="J8" s="11"/>
      <c r="K8" s="11"/>
      <c r="L8" s="307"/>
      <c r="M8" s="11"/>
      <c r="N8" s="307"/>
      <c r="O8" s="307"/>
      <c r="P8" s="11"/>
      <c r="R8" s="43"/>
    </row>
    <row r="9" spans="1:22">
      <c r="F9" s="36"/>
      <c r="G9" s="36"/>
      <c r="H9" s="27"/>
      <c r="I9" s="27"/>
      <c r="J9" s="11"/>
      <c r="K9" s="11"/>
      <c r="L9" s="307"/>
      <c r="M9" s="11"/>
      <c r="N9" s="307"/>
      <c r="O9" s="307"/>
      <c r="P9" s="11"/>
      <c r="R9" s="43"/>
    </row>
    <row r="10" spans="1:22">
      <c r="A10" s="43" t="s">
        <v>2</v>
      </c>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75</v>
      </c>
      <c r="G14" s="5"/>
      <c r="H14" s="77">
        <f>+E1-I10+O10+G17</f>
        <v>23985472</v>
      </c>
      <c r="I14" s="289"/>
      <c r="J14" s="137"/>
      <c r="L14" s="9"/>
      <c r="M14" s="137"/>
      <c r="Q14" s="13"/>
    </row>
    <row r="16" spans="1:22">
      <c r="M16" s="11"/>
    </row>
    <row r="17" spans="7:11" s="13" customFormat="1">
      <c r="G17" s="295"/>
      <c r="H17" s="12"/>
      <c r="I17" s="35"/>
      <c r="J17" s="11"/>
      <c r="K17" s="11"/>
    </row>
    <row r="19" spans="7:11" s="13" customFormat="1">
      <c r="H19" s="12"/>
      <c r="I19" s="35"/>
      <c r="K19" s="13" t="s">
        <v>7</v>
      </c>
    </row>
    <row r="28" spans="7:11" s="13" customFormat="1">
      <c r="H28" s="12"/>
      <c r="I28" s="35"/>
      <c r="J28" s="35"/>
    </row>
  </sheetData>
  <phoneticPr fontId="3" type="noConversion"/>
  <pageMargins left="0.75" right="0.75" top="1" bottom="1" header="0.5" footer="0.5"/>
  <pageSetup scale="5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tabColor theme="0" tint="-0.249977111117893"/>
  </sheetPr>
  <dimension ref="A1:V88"/>
  <sheetViews>
    <sheetView zoomScaleNormal="100" workbookViewId="0">
      <pane ySplit="6" topLeftCell="A28" activePane="bottomLeft" state="frozen"/>
      <selection pane="bottomLeft" activeCell="H55" sqref="H55"/>
    </sheetView>
  </sheetViews>
  <sheetFormatPr defaultColWidth="11.375" defaultRowHeight="12"/>
  <cols>
    <col min="1" max="1" width="8.375" style="1" customWidth="1"/>
    <col min="2" max="2" width="6.125" style="1" customWidth="1"/>
    <col min="3" max="3" width="9.375" style="1" customWidth="1"/>
    <col min="4" max="4" width="13.25" style="1" bestFit="1" customWidth="1"/>
    <col min="5" max="5" width="42.125" style="1" bestFit="1" customWidth="1"/>
    <col min="6" max="6" width="50" style="1" customWidth="1"/>
    <col min="7" max="7" width="14" style="1" bestFit="1" customWidth="1"/>
    <col min="8" max="8" width="17.375" style="76" bestFit="1" customWidth="1"/>
    <col min="9" max="9" width="14" style="1" bestFit="1" customWidth="1"/>
    <col min="10" max="10" width="14.625" style="1" customWidth="1"/>
    <col min="11" max="11" width="9.625" style="1" bestFit="1" customWidth="1"/>
    <col min="12" max="12" width="14" style="9" customWidth="1"/>
    <col min="13" max="13" width="9.625" style="1" customWidth="1"/>
    <col min="14" max="14" width="15.25" style="1" bestFit="1" customWidth="1"/>
    <col min="15" max="15" width="14.75" style="1" bestFit="1" customWidth="1"/>
    <col min="16" max="16" width="10.625" style="1" bestFit="1" customWidth="1"/>
    <col min="17" max="17" width="10.25" style="13" bestFit="1" customWidth="1"/>
    <col min="18" max="18" width="44.75" style="1" bestFit="1" customWidth="1"/>
    <col min="19" max="19" width="17.75" style="1" bestFit="1" customWidth="1"/>
    <col min="20" max="16384" width="11.375" style="1"/>
  </cols>
  <sheetData>
    <row r="1" spans="1:22" s="24" customFormat="1">
      <c r="A1" s="25" t="s">
        <v>30</v>
      </c>
      <c r="B1" s="48"/>
      <c r="C1" s="288"/>
      <c r="D1" s="17"/>
      <c r="E1" s="372">
        <f>Totals!I8</f>
        <v>1262843621</v>
      </c>
      <c r="F1" s="201"/>
      <c r="G1" s="18"/>
      <c r="H1" s="128"/>
      <c r="I1" s="20"/>
      <c r="J1" s="21"/>
      <c r="K1" s="22"/>
      <c r="L1" s="459"/>
      <c r="M1" s="22"/>
      <c r="N1" s="19"/>
      <c r="O1" s="19"/>
      <c r="P1" s="281"/>
      <c r="Q1" s="17"/>
      <c r="R1" s="282"/>
      <c r="S1" s="13"/>
      <c r="T1" s="13"/>
      <c r="U1" s="13"/>
      <c r="V1" s="13"/>
    </row>
    <row r="2" spans="1:22" s="13" customFormat="1">
      <c r="A2" s="25"/>
      <c r="B2" s="48"/>
      <c r="C2" s="48"/>
      <c r="D2" s="5"/>
      <c r="E2" s="52"/>
      <c r="F2" s="26"/>
      <c r="G2" s="26"/>
      <c r="H2" s="66"/>
      <c r="I2" s="28"/>
      <c r="J2" s="29"/>
      <c r="K2" s="11"/>
      <c r="L2" s="27"/>
      <c r="M2" s="11"/>
      <c r="N2" s="27"/>
      <c r="O2" s="27"/>
      <c r="P2" s="6"/>
      <c r="Q2" s="5"/>
      <c r="R2" s="283"/>
    </row>
    <row r="3" spans="1:22" s="13" customFormat="1">
      <c r="A3" s="25"/>
      <c r="B3" s="48"/>
      <c r="C3" s="48"/>
      <c r="D3" s="5"/>
      <c r="E3" s="26"/>
      <c r="F3" s="26"/>
      <c r="G3" s="26"/>
      <c r="H3" s="66"/>
      <c r="I3" s="27"/>
      <c r="J3" s="11"/>
      <c r="K3" s="11"/>
      <c r="L3" s="27"/>
      <c r="M3" s="11"/>
      <c r="N3" s="27"/>
      <c r="O3" s="27"/>
      <c r="P3" s="6"/>
      <c r="Q3" s="1"/>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183</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439" customFormat="1">
      <c r="A7" s="439">
        <v>1</v>
      </c>
      <c r="B7" s="439">
        <v>1</v>
      </c>
      <c r="C7" s="439">
        <v>5466</v>
      </c>
      <c r="D7" s="439" t="s">
        <v>315</v>
      </c>
      <c r="E7" s="439" t="s">
        <v>471</v>
      </c>
      <c r="F7" s="493" t="s">
        <v>472</v>
      </c>
      <c r="G7" s="493" t="s">
        <v>473</v>
      </c>
      <c r="H7" s="419">
        <v>100000000</v>
      </c>
      <c r="I7" s="419">
        <f>H7</f>
        <v>100000000</v>
      </c>
      <c r="J7" s="494">
        <v>44589</v>
      </c>
      <c r="K7" s="494">
        <f>J7+35</f>
        <v>44624</v>
      </c>
      <c r="L7" s="346">
        <v>0</v>
      </c>
      <c r="M7" s="494">
        <f>J7+150</f>
        <v>44739</v>
      </c>
      <c r="N7" s="346"/>
      <c r="O7" s="346">
        <f>I7-L7</f>
        <v>100000000</v>
      </c>
      <c r="P7" s="494">
        <v>44625</v>
      </c>
      <c r="Q7" s="439" t="s">
        <v>146</v>
      </c>
      <c r="R7" s="441"/>
    </row>
    <row r="8" spans="1:22" s="13" customFormat="1">
      <c r="A8" s="13">
        <v>4</v>
      </c>
      <c r="B8" s="13">
        <v>8</v>
      </c>
      <c r="C8" s="13" t="s">
        <v>462</v>
      </c>
      <c r="D8" s="13" t="s">
        <v>315</v>
      </c>
      <c r="E8" s="13" t="s">
        <v>152</v>
      </c>
      <c r="F8" s="36" t="s">
        <v>474</v>
      </c>
      <c r="G8" s="36" t="s">
        <v>81</v>
      </c>
      <c r="H8" s="409">
        <v>0</v>
      </c>
      <c r="I8" s="409"/>
      <c r="J8" s="11"/>
      <c r="K8" s="11"/>
      <c r="L8" s="286"/>
      <c r="M8" s="11"/>
      <c r="N8" s="286"/>
      <c r="O8" s="286"/>
      <c r="P8" s="11"/>
      <c r="Q8" s="13" t="s">
        <v>206</v>
      </c>
      <c r="R8" s="92" t="s">
        <v>529</v>
      </c>
    </row>
    <row r="9" spans="1:22" s="13" customFormat="1">
      <c r="A9" s="13">
        <v>5</v>
      </c>
      <c r="B9" s="13">
        <v>9</v>
      </c>
      <c r="C9" s="13">
        <v>5467</v>
      </c>
      <c r="D9" s="13" t="s">
        <v>316</v>
      </c>
      <c r="E9" s="13" t="s">
        <v>152</v>
      </c>
      <c r="F9" s="36" t="s">
        <v>361</v>
      </c>
      <c r="G9" s="36" t="s">
        <v>81</v>
      </c>
      <c r="H9" s="409">
        <v>15000000</v>
      </c>
      <c r="I9" s="409">
        <f>H9</f>
        <v>15000000</v>
      </c>
      <c r="J9" s="11">
        <v>44589</v>
      </c>
      <c r="K9" s="11">
        <f>J9+35</f>
        <v>44624</v>
      </c>
      <c r="L9" s="409">
        <v>12000000</v>
      </c>
      <c r="M9" s="11">
        <f>J9+180</f>
        <v>44769</v>
      </c>
      <c r="N9" s="342">
        <v>0</v>
      </c>
      <c r="O9" s="286">
        <f>I9-N9</f>
        <v>15000000</v>
      </c>
      <c r="P9" s="11">
        <v>44623</v>
      </c>
      <c r="Q9" s="13" t="s">
        <v>207</v>
      </c>
      <c r="R9" s="540" t="s">
        <v>522</v>
      </c>
      <c r="S9" s="439" t="s">
        <v>530</v>
      </c>
    </row>
    <row r="10" spans="1:22" s="5" customFormat="1" ht="11.4">
      <c r="A10" s="5">
        <v>6</v>
      </c>
      <c r="B10" s="5">
        <v>10</v>
      </c>
      <c r="C10" s="5">
        <v>5476</v>
      </c>
      <c r="D10" s="5" t="s">
        <v>507</v>
      </c>
      <c r="E10" s="5" t="s">
        <v>160</v>
      </c>
      <c r="F10" s="26" t="s">
        <v>299</v>
      </c>
      <c r="G10" s="26" t="s">
        <v>80</v>
      </c>
      <c r="H10" s="344">
        <v>12000000</v>
      </c>
      <c r="I10" s="344">
        <f>H10</f>
        <v>12000000</v>
      </c>
      <c r="J10" s="6">
        <v>44595</v>
      </c>
      <c r="K10" s="6">
        <f>J10+35</f>
        <v>44630</v>
      </c>
      <c r="L10" s="341">
        <v>12000000</v>
      </c>
      <c r="M10" s="6">
        <f>J10+180</f>
        <v>44775</v>
      </c>
      <c r="N10" s="341"/>
      <c r="O10" s="341"/>
      <c r="P10" s="6"/>
      <c r="Q10" s="5" t="s">
        <v>207</v>
      </c>
      <c r="R10" s="502" t="s">
        <v>544</v>
      </c>
    </row>
    <row r="11" spans="1:22" s="13" customFormat="1">
      <c r="A11" s="13">
        <v>8</v>
      </c>
      <c r="B11" s="13">
        <v>14</v>
      </c>
      <c r="C11" s="13">
        <v>5468</v>
      </c>
      <c r="D11" s="13" t="s">
        <v>316</v>
      </c>
      <c r="E11" s="13" t="s">
        <v>475</v>
      </c>
      <c r="F11" s="36" t="s">
        <v>476</v>
      </c>
      <c r="G11" s="36" t="s">
        <v>81</v>
      </c>
      <c r="H11" s="409">
        <v>30000000</v>
      </c>
      <c r="I11" s="409">
        <f>H11</f>
        <v>30000000</v>
      </c>
      <c r="J11" s="11">
        <v>44589</v>
      </c>
      <c r="K11" s="11">
        <f>J11+35</f>
        <v>44624</v>
      </c>
      <c r="L11" s="286">
        <v>30000000</v>
      </c>
      <c r="M11" s="11">
        <f>J11+180</f>
        <v>44769</v>
      </c>
      <c r="N11" s="286">
        <v>0</v>
      </c>
      <c r="O11" s="286">
        <f>L11-N11</f>
        <v>30000000</v>
      </c>
      <c r="P11" s="11">
        <v>44625</v>
      </c>
      <c r="Q11" s="13" t="s">
        <v>206</v>
      </c>
      <c r="R11" s="92" t="s">
        <v>521</v>
      </c>
      <c r="S11" s="439" t="s">
        <v>531</v>
      </c>
    </row>
    <row r="12" spans="1:22" s="13" customFormat="1">
      <c r="A12" s="13">
        <v>10</v>
      </c>
      <c r="B12" s="13">
        <v>16</v>
      </c>
      <c r="C12" s="13" t="s">
        <v>463</v>
      </c>
      <c r="D12" s="13" t="s">
        <v>315</v>
      </c>
      <c r="E12" s="13" t="s">
        <v>260</v>
      </c>
      <c r="F12" s="36" t="s">
        <v>477</v>
      </c>
      <c r="G12" s="36" t="s">
        <v>79</v>
      </c>
      <c r="H12" s="409">
        <v>0</v>
      </c>
      <c r="I12" s="409"/>
      <c r="J12" s="11"/>
      <c r="K12" s="11"/>
      <c r="L12" s="286"/>
      <c r="M12" s="11"/>
      <c r="N12" s="286"/>
      <c r="O12" s="286"/>
      <c r="P12" s="11"/>
      <c r="Q12" s="13" t="s">
        <v>247</v>
      </c>
      <c r="R12" s="92" t="s">
        <v>541</v>
      </c>
    </row>
    <row r="13" spans="1:22" s="13" customFormat="1">
      <c r="A13" s="13">
        <v>11</v>
      </c>
      <c r="B13" s="13">
        <v>17</v>
      </c>
      <c r="C13" s="13" t="s">
        <v>464</v>
      </c>
      <c r="D13" s="13" t="s">
        <v>315</v>
      </c>
      <c r="E13" s="13" t="s">
        <v>286</v>
      </c>
      <c r="F13" s="36" t="s">
        <v>478</v>
      </c>
      <c r="G13" s="36" t="s">
        <v>80</v>
      </c>
      <c r="H13" s="409">
        <v>0</v>
      </c>
      <c r="I13" s="409"/>
      <c r="J13" s="11"/>
      <c r="K13" s="11"/>
      <c r="L13" s="286"/>
      <c r="M13" s="11"/>
      <c r="N13" s="286"/>
      <c r="O13" s="286"/>
      <c r="P13" s="11"/>
      <c r="Q13" s="13" t="s">
        <v>247</v>
      </c>
      <c r="R13" s="92" t="s">
        <v>541</v>
      </c>
    </row>
    <row r="14" spans="1:22" s="439" customFormat="1">
      <c r="A14" s="439">
        <v>12</v>
      </c>
      <c r="B14" s="439">
        <v>12</v>
      </c>
      <c r="C14" s="439" t="s">
        <v>465</v>
      </c>
      <c r="D14" s="439" t="s">
        <v>315</v>
      </c>
      <c r="E14" s="439" t="s">
        <v>300</v>
      </c>
      <c r="F14" s="493" t="s">
        <v>352</v>
      </c>
      <c r="G14" s="493" t="s">
        <v>151</v>
      </c>
      <c r="H14" s="419">
        <v>0</v>
      </c>
      <c r="I14" s="346"/>
      <c r="J14" s="494"/>
      <c r="K14" s="494"/>
      <c r="L14" s="346"/>
      <c r="M14" s="494"/>
      <c r="N14" s="346"/>
      <c r="O14" s="346"/>
      <c r="P14" s="494"/>
      <c r="Q14" s="439" t="s">
        <v>146</v>
      </c>
      <c r="R14" s="441"/>
    </row>
    <row r="15" spans="1:22" s="5" customFormat="1" ht="11.4">
      <c r="A15" s="5">
        <v>17</v>
      </c>
      <c r="B15" s="5">
        <v>23</v>
      </c>
      <c r="C15" s="5">
        <v>5477</v>
      </c>
      <c r="D15" s="5" t="s">
        <v>507</v>
      </c>
      <c r="E15" s="5" t="s">
        <v>152</v>
      </c>
      <c r="F15" s="26" t="s">
        <v>357</v>
      </c>
      <c r="G15" s="26" t="s">
        <v>81</v>
      </c>
      <c r="H15" s="344">
        <v>45000000</v>
      </c>
      <c r="I15" s="344">
        <f>H15</f>
        <v>45000000</v>
      </c>
      <c r="J15" s="6">
        <v>44595</v>
      </c>
      <c r="K15" s="6">
        <f>J15+35</f>
        <v>44630</v>
      </c>
      <c r="L15" s="341">
        <v>45000000</v>
      </c>
      <c r="M15" s="6">
        <f>J15+180</f>
        <v>44775</v>
      </c>
      <c r="N15" s="341"/>
      <c r="O15" s="341"/>
      <c r="P15" s="6"/>
      <c r="Q15" s="5" t="s">
        <v>247</v>
      </c>
      <c r="R15" s="502" t="s">
        <v>543</v>
      </c>
      <c r="S15" s="371" t="s">
        <v>530</v>
      </c>
    </row>
    <row r="16" spans="1:22" s="371" customFormat="1" ht="11.4">
      <c r="A16" s="371">
        <v>22</v>
      </c>
      <c r="B16" s="371">
        <v>22</v>
      </c>
      <c r="C16" s="371">
        <v>5479</v>
      </c>
      <c r="D16" s="371" t="s">
        <v>507</v>
      </c>
      <c r="E16" s="371" t="s">
        <v>479</v>
      </c>
      <c r="F16" s="514" t="s">
        <v>480</v>
      </c>
      <c r="G16" s="514" t="s">
        <v>481</v>
      </c>
      <c r="H16" s="515">
        <v>20000000</v>
      </c>
      <c r="I16" s="515">
        <f>H16</f>
        <v>20000000</v>
      </c>
      <c r="J16" s="516">
        <v>44596</v>
      </c>
      <c r="K16" s="516">
        <f>J16+35</f>
        <v>44631</v>
      </c>
      <c r="L16" s="517">
        <v>20000000</v>
      </c>
      <c r="M16" s="516">
        <f>J16+150</f>
        <v>44746</v>
      </c>
      <c r="N16" s="517"/>
      <c r="O16" s="517"/>
      <c r="P16" s="516"/>
      <c r="Q16" s="371" t="s">
        <v>146</v>
      </c>
      <c r="R16" s="518"/>
    </row>
    <row r="17" spans="1:19" s="5" customFormat="1" ht="11.4">
      <c r="A17" s="5">
        <v>23</v>
      </c>
      <c r="B17" s="5">
        <v>28</v>
      </c>
      <c r="C17" s="5">
        <v>5480</v>
      </c>
      <c r="D17" s="5" t="s">
        <v>507</v>
      </c>
      <c r="E17" s="5" t="s">
        <v>286</v>
      </c>
      <c r="F17" s="26" t="s">
        <v>482</v>
      </c>
      <c r="G17" s="26" t="s">
        <v>80</v>
      </c>
      <c r="H17" s="344">
        <v>20000000</v>
      </c>
      <c r="I17" s="344">
        <f>H17</f>
        <v>20000000</v>
      </c>
      <c r="J17" s="6">
        <v>44596</v>
      </c>
      <c r="K17" s="6">
        <f>J17+35</f>
        <v>44631</v>
      </c>
      <c r="L17" s="341">
        <v>20000000</v>
      </c>
      <c r="M17" s="6">
        <f>J17+180</f>
        <v>44776</v>
      </c>
      <c r="N17" s="341"/>
      <c r="O17" s="341"/>
      <c r="P17" s="6"/>
      <c r="Q17" s="5" t="s">
        <v>247</v>
      </c>
      <c r="R17" s="502" t="s">
        <v>546</v>
      </c>
    </row>
    <row r="18" spans="1:19" s="5" customFormat="1" ht="11.4">
      <c r="A18" s="5">
        <v>29</v>
      </c>
      <c r="B18" s="5">
        <v>11</v>
      </c>
      <c r="C18" s="5">
        <v>5481</v>
      </c>
      <c r="D18" s="5" t="s">
        <v>507</v>
      </c>
      <c r="E18" s="5" t="s">
        <v>475</v>
      </c>
      <c r="F18" s="26" t="s">
        <v>483</v>
      </c>
      <c r="G18" s="26" t="s">
        <v>81</v>
      </c>
      <c r="H18" s="344">
        <v>40000000</v>
      </c>
      <c r="I18" s="341">
        <f>H18</f>
        <v>40000000</v>
      </c>
      <c r="J18" s="6">
        <v>44596</v>
      </c>
      <c r="K18" s="6">
        <f>J18+35</f>
        <v>44631</v>
      </c>
      <c r="L18" s="341">
        <v>40000000</v>
      </c>
      <c r="M18" s="6">
        <f>J18+180</f>
        <v>44776</v>
      </c>
      <c r="N18" s="519"/>
      <c r="O18" s="341"/>
      <c r="P18" s="6"/>
      <c r="Q18" s="5" t="s">
        <v>226</v>
      </c>
      <c r="R18" s="502" t="s">
        <v>542</v>
      </c>
    </row>
    <row r="19" spans="1:19" s="13" customFormat="1">
      <c r="A19" s="13">
        <v>30</v>
      </c>
      <c r="B19" s="13">
        <v>35</v>
      </c>
      <c r="C19" s="13" t="s">
        <v>466</v>
      </c>
      <c r="D19" s="13" t="s">
        <v>315</v>
      </c>
      <c r="E19" s="13" t="s">
        <v>365</v>
      </c>
      <c r="F19" s="36" t="s">
        <v>484</v>
      </c>
      <c r="G19" s="36" t="s">
        <v>269</v>
      </c>
      <c r="H19" s="409">
        <v>0</v>
      </c>
      <c r="I19" s="409"/>
      <c r="J19" s="11"/>
      <c r="K19" s="11"/>
      <c r="L19" s="286"/>
      <c r="M19" s="11"/>
      <c r="N19" s="286"/>
      <c r="O19" s="286"/>
      <c r="P19" s="11"/>
      <c r="Q19" s="13" t="s">
        <v>247</v>
      </c>
      <c r="R19" s="92" t="s">
        <v>552</v>
      </c>
    </row>
    <row r="20" spans="1:19" s="5" customFormat="1" ht="11.4">
      <c r="A20" s="5">
        <v>31</v>
      </c>
      <c r="B20" s="5">
        <v>36</v>
      </c>
      <c r="C20" s="5">
        <v>5482</v>
      </c>
      <c r="D20" s="5" t="s">
        <v>507</v>
      </c>
      <c r="E20" s="5" t="s">
        <v>286</v>
      </c>
      <c r="F20" s="26" t="s">
        <v>485</v>
      </c>
      <c r="G20" s="26" t="s">
        <v>80</v>
      </c>
      <c r="H20" s="344">
        <v>20000000</v>
      </c>
      <c r="I20" s="341">
        <f>H20</f>
        <v>20000000</v>
      </c>
      <c r="J20" s="6">
        <v>44596</v>
      </c>
      <c r="K20" s="6">
        <f>J20+35</f>
        <v>44631</v>
      </c>
      <c r="L20" s="341">
        <v>20000000</v>
      </c>
      <c r="M20" s="6">
        <f>J20+180</f>
        <v>44776</v>
      </c>
      <c r="N20" s="341"/>
      <c r="O20" s="341"/>
      <c r="P20" s="6"/>
      <c r="Q20" s="5" t="s">
        <v>247</v>
      </c>
      <c r="R20" s="502" t="s">
        <v>546</v>
      </c>
    </row>
    <row r="21" spans="1:19" s="371" customFormat="1" ht="11.4">
      <c r="A21" s="371">
        <v>32</v>
      </c>
      <c r="B21" s="371">
        <v>32</v>
      </c>
      <c r="C21" s="371">
        <v>5483</v>
      </c>
      <c r="D21" s="371" t="s">
        <v>507</v>
      </c>
      <c r="E21" s="371" t="s">
        <v>83</v>
      </c>
      <c r="F21" s="514" t="s">
        <v>486</v>
      </c>
      <c r="G21" s="514" t="s">
        <v>220</v>
      </c>
      <c r="H21" s="515">
        <v>145548078</v>
      </c>
      <c r="I21" s="517">
        <f>H21</f>
        <v>145548078</v>
      </c>
      <c r="J21" s="516">
        <v>44596</v>
      </c>
      <c r="K21" s="516">
        <f>J21+35</f>
        <v>44631</v>
      </c>
      <c r="L21" s="517">
        <v>145548078</v>
      </c>
      <c r="M21" s="516">
        <f>J21+150</f>
        <v>44746</v>
      </c>
      <c r="N21" s="521"/>
      <c r="O21" s="517"/>
      <c r="P21" s="516"/>
      <c r="Q21" s="371" t="s">
        <v>146</v>
      </c>
      <c r="R21" s="518"/>
    </row>
    <row r="22" spans="1:19" s="13" customFormat="1">
      <c r="A22" s="13">
        <v>33</v>
      </c>
      <c r="B22" s="13">
        <v>37</v>
      </c>
      <c r="C22" s="13" t="s">
        <v>467</v>
      </c>
      <c r="D22" s="13" t="s">
        <v>315</v>
      </c>
      <c r="E22" s="13" t="s">
        <v>260</v>
      </c>
      <c r="F22" s="36" t="s">
        <v>411</v>
      </c>
      <c r="G22" s="36" t="s">
        <v>79</v>
      </c>
      <c r="H22" s="409">
        <v>0</v>
      </c>
      <c r="I22" s="286"/>
      <c r="J22" s="11"/>
      <c r="K22" s="11"/>
      <c r="L22" s="286"/>
      <c r="M22" s="11"/>
      <c r="N22" s="286"/>
      <c r="O22" s="286"/>
      <c r="P22" s="11"/>
      <c r="Q22" s="13" t="s">
        <v>247</v>
      </c>
      <c r="R22" s="92" t="s">
        <v>534</v>
      </c>
    </row>
    <row r="23" spans="1:19" s="13" customFormat="1">
      <c r="A23" s="13">
        <v>37</v>
      </c>
      <c r="B23" s="13">
        <v>41</v>
      </c>
      <c r="C23" s="13" t="s">
        <v>468</v>
      </c>
      <c r="D23" s="13" t="s">
        <v>315</v>
      </c>
      <c r="E23" s="13" t="s">
        <v>286</v>
      </c>
      <c r="F23" s="36" t="s">
        <v>487</v>
      </c>
      <c r="G23" s="36" t="s">
        <v>80</v>
      </c>
      <c r="H23" s="409">
        <v>0</v>
      </c>
      <c r="I23" s="286"/>
      <c r="J23" s="11"/>
      <c r="K23" s="11"/>
      <c r="L23" s="286"/>
      <c r="M23" s="11"/>
      <c r="N23" s="286"/>
      <c r="O23" s="286"/>
      <c r="P23" s="11"/>
      <c r="Q23" s="13" t="s">
        <v>255</v>
      </c>
      <c r="R23" s="92"/>
    </row>
    <row r="24" spans="1:19" s="13" customFormat="1">
      <c r="A24" s="13">
        <v>38</v>
      </c>
      <c r="B24" s="13">
        <v>3</v>
      </c>
      <c r="C24" s="13" t="s">
        <v>469</v>
      </c>
      <c r="D24" s="13" t="s">
        <v>315</v>
      </c>
      <c r="E24" s="13" t="s">
        <v>152</v>
      </c>
      <c r="F24" s="36" t="s">
        <v>488</v>
      </c>
      <c r="G24" s="36" t="s">
        <v>81</v>
      </c>
      <c r="H24" s="409">
        <v>0</v>
      </c>
      <c r="I24" s="409"/>
      <c r="J24" s="11"/>
      <c r="K24" s="11"/>
      <c r="L24" s="286"/>
      <c r="M24" s="11"/>
      <c r="N24" s="286"/>
      <c r="O24" s="286"/>
      <c r="P24" s="11"/>
      <c r="Q24" s="13" t="s">
        <v>227</v>
      </c>
      <c r="R24" s="92"/>
    </row>
    <row r="25" spans="1:19" s="13" customFormat="1">
      <c r="A25" s="13">
        <v>39</v>
      </c>
      <c r="B25" s="13">
        <v>42</v>
      </c>
      <c r="C25" s="13">
        <v>5486</v>
      </c>
      <c r="D25" s="13" t="s">
        <v>315</v>
      </c>
      <c r="E25" s="13" t="s">
        <v>157</v>
      </c>
      <c r="F25" s="36" t="s">
        <v>489</v>
      </c>
      <c r="G25" s="36" t="s">
        <v>298</v>
      </c>
      <c r="H25" s="409">
        <v>12800000</v>
      </c>
      <c r="I25" s="409">
        <f>H25</f>
        <v>12800000</v>
      </c>
      <c r="J25" s="11">
        <v>44597</v>
      </c>
      <c r="K25" s="11">
        <f>J25+35</f>
        <v>44632</v>
      </c>
      <c r="L25" s="286">
        <v>0</v>
      </c>
      <c r="M25" s="11">
        <f>J25+180</f>
        <v>44777</v>
      </c>
      <c r="N25" s="286"/>
      <c r="O25" s="286">
        <f>I25-N25</f>
        <v>12800000</v>
      </c>
      <c r="P25" s="11">
        <v>44623</v>
      </c>
      <c r="Q25" s="13" t="s">
        <v>255</v>
      </c>
      <c r="R25" s="92"/>
      <c r="S25" s="439" t="s">
        <v>555</v>
      </c>
    </row>
    <row r="26" spans="1:19" s="13" customFormat="1">
      <c r="A26" s="13">
        <v>40</v>
      </c>
      <c r="B26" s="13">
        <v>43</v>
      </c>
      <c r="C26" s="13">
        <v>5487</v>
      </c>
      <c r="D26" s="13" t="s">
        <v>315</v>
      </c>
      <c r="E26" s="13" t="s">
        <v>152</v>
      </c>
      <c r="F26" s="36" t="s">
        <v>490</v>
      </c>
      <c r="G26" s="36" t="s">
        <v>81</v>
      </c>
      <c r="H26" s="409">
        <v>50000000</v>
      </c>
      <c r="I26" s="286">
        <f>H26</f>
        <v>50000000</v>
      </c>
      <c r="J26" s="11">
        <v>44597</v>
      </c>
      <c r="K26" s="11">
        <f>J26+35</f>
        <v>44632</v>
      </c>
      <c r="L26" s="286">
        <v>0</v>
      </c>
      <c r="M26" s="11">
        <f>J26+180</f>
        <v>44777</v>
      </c>
      <c r="N26" s="286"/>
      <c r="O26" s="286">
        <f>I26-L26</f>
        <v>50000000</v>
      </c>
      <c r="P26" s="11">
        <v>44603</v>
      </c>
      <c r="Q26" s="13" t="s">
        <v>255</v>
      </c>
      <c r="R26" s="92"/>
      <c r="S26" s="43"/>
    </row>
    <row r="27" spans="1:19" s="13" customFormat="1">
      <c r="A27" s="13">
        <v>42</v>
      </c>
      <c r="B27" s="13">
        <v>5</v>
      </c>
      <c r="C27" s="13">
        <v>5488</v>
      </c>
      <c r="D27" s="13" t="s">
        <v>315</v>
      </c>
      <c r="E27" s="13" t="s">
        <v>475</v>
      </c>
      <c r="F27" s="36" t="s">
        <v>491</v>
      </c>
      <c r="G27" s="36" t="s">
        <v>81</v>
      </c>
      <c r="H27" s="409">
        <v>50000000</v>
      </c>
      <c r="I27" s="286">
        <f>H27</f>
        <v>50000000</v>
      </c>
      <c r="J27" s="11">
        <v>44597</v>
      </c>
      <c r="K27" s="11">
        <f>J27+35</f>
        <v>44632</v>
      </c>
      <c r="L27" s="286">
        <v>0</v>
      </c>
      <c r="M27" s="11">
        <f>J27+180</f>
        <v>44777</v>
      </c>
      <c r="N27" s="286"/>
      <c r="O27" s="286">
        <f>I27-L27</f>
        <v>50000000</v>
      </c>
      <c r="P27" s="11">
        <v>44622</v>
      </c>
      <c r="Q27" s="13" t="s">
        <v>227</v>
      </c>
      <c r="R27" s="92"/>
    </row>
    <row r="28" spans="1:19" s="5" customFormat="1" ht="11.4">
      <c r="A28" s="5">
        <v>44</v>
      </c>
      <c r="B28" s="5">
        <v>6</v>
      </c>
      <c r="C28" s="5">
        <v>5491</v>
      </c>
      <c r="D28" s="5" t="s">
        <v>507</v>
      </c>
      <c r="E28" s="5" t="s">
        <v>152</v>
      </c>
      <c r="F28" s="26" t="s">
        <v>492</v>
      </c>
      <c r="G28" s="26" t="s">
        <v>81</v>
      </c>
      <c r="H28" s="344">
        <v>45000000</v>
      </c>
      <c r="I28" s="344">
        <f>H28</f>
        <v>45000000</v>
      </c>
      <c r="J28" s="6">
        <v>44601</v>
      </c>
      <c r="K28" s="6">
        <f>J28+35</f>
        <v>44636</v>
      </c>
      <c r="L28" s="341">
        <v>45000000</v>
      </c>
      <c r="M28" s="6">
        <f>J28+180</f>
        <v>44781</v>
      </c>
      <c r="N28" s="341"/>
      <c r="O28" s="341"/>
      <c r="P28" s="6"/>
      <c r="Q28" s="5" t="s">
        <v>227</v>
      </c>
      <c r="R28" s="141"/>
    </row>
    <row r="29" spans="1:19" s="13" customFormat="1">
      <c r="A29" s="13">
        <v>46</v>
      </c>
      <c r="B29" s="13">
        <v>46</v>
      </c>
      <c r="C29" s="13" t="s">
        <v>470</v>
      </c>
      <c r="D29" s="13" t="s">
        <v>315</v>
      </c>
      <c r="E29" s="13" t="s">
        <v>286</v>
      </c>
      <c r="F29" s="36" t="s">
        <v>493</v>
      </c>
      <c r="G29" s="36" t="s">
        <v>210</v>
      </c>
      <c r="H29" s="409">
        <v>0</v>
      </c>
      <c r="I29" s="409"/>
      <c r="J29" s="11"/>
      <c r="K29" s="11"/>
      <c r="L29" s="286"/>
      <c r="M29" s="11"/>
      <c r="N29" s="286"/>
      <c r="O29" s="286"/>
      <c r="P29" s="11"/>
      <c r="Q29" s="13" t="s">
        <v>255</v>
      </c>
      <c r="R29" s="92"/>
    </row>
    <row r="30" spans="1:19" s="371" customFormat="1" ht="11.4">
      <c r="A30" s="371">
        <v>48</v>
      </c>
      <c r="B30" s="371">
        <v>48</v>
      </c>
      <c r="C30" s="371">
        <v>5492</v>
      </c>
      <c r="D30" s="371" t="s">
        <v>507</v>
      </c>
      <c r="E30" s="371" t="s">
        <v>216</v>
      </c>
      <c r="F30" s="514" t="s">
        <v>217</v>
      </c>
      <c r="G30" s="514" t="s">
        <v>218</v>
      </c>
      <c r="H30" s="515">
        <v>90000000</v>
      </c>
      <c r="I30" s="515">
        <f t="shared" ref="I30:I41" si="0">H30</f>
        <v>90000000</v>
      </c>
      <c r="J30" s="516">
        <v>44601</v>
      </c>
      <c r="K30" s="516">
        <f t="shared" ref="K30:K49" si="1">J30+35</f>
        <v>44636</v>
      </c>
      <c r="L30" s="517"/>
      <c r="M30" s="516">
        <f>J30+150</f>
        <v>44751</v>
      </c>
      <c r="N30" s="517"/>
      <c r="O30" s="517"/>
      <c r="P30" s="516"/>
      <c r="Q30" s="371" t="s">
        <v>146</v>
      </c>
      <c r="R30" s="518"/>
    </row>
    <row r="31" spans="1:19" s="13" customFormat="1">
      <c r="A31" s="13">
        <v>49</v>
      </c>
      <c r="B31" s="13">
        <v>49</v>
      </c>
      <c r="C31" s="13">
        <v>5493</v>
      </c>
      <c r="D31" s="13" t="s">
        <v>315</v>
      </c>
      <c r="E31" s="13" t="s">
        <v>260</v>
      </c>
      <c r="F31" s="36" t="s">
        <v>494</v>
      </c>
      <c r="G31" s="36" t="s">
        <v>79</v>
      </c>
      <c r="H31" s="409">
        <v>55000000</v>
      </c>
      <c r="I31" s="409">
        <f t="shared" si="0"/>
        <v>55000000</v>
      </c>
      <c r="J31" s="11">
        <v>44601</v>
      </c>
      <c r="K31" s="11">
        <f t="shared" si="1"/>
        <v>44636</v>
      </c>
      <c r="L31" s="286">
        <v>0</v>
      </c>
      <c r="M31" s="11">
        <f>J31+180</f>
        <v>44781</v>
      </c>
      <c r="N31" s="286"/>
      <c r="O31" s="286">
        <f>I31-L31</f>
        <v>55000000</v>
      </c>
      <c r="P31" s="11">
        <v>44630</v>
      </c>
      <c r="Q31" s="13" t="s">
        <v>255</v>
      </c>
      <c r="R31" s="92"/>
    </row>
    <row r="32" spans="1:19" s="5" customFormat="1" ht="11.4">
      <c r="A32" s="5">
        <v>52</v>
      </c>
      <c r="B32" s="5">
        <v>52</v>
      </c>
      <c r="C32" s="5">
        <v>5494</v>
      </c>
      <c r="D32" s="5" t="s">
        <v>507</v>
      </c>
      <c r="E32" s="5" t="s">
        <v>152</v>
      </c>
      <c r="F32" s="26" t="s">
        <v>495</v>
      </c>
      <c r="G32" s="26" t="s">
        <v>81</v>
      </c>
      <c r="H32" s="344">
        <v>40000000</v>
      </c>
      <c r="I32" s="344">
        <f t="shared" si="0"/>
        <v>40000000</v>
      </c>
      <c r="J32" s="6">
        <v>44601</v>
      </c>
      <c r="K32" s="6">
        <f t="shared" si="1"/>
        <v>44636</v>
      </c>
      <c r="L32" s="341"/>
      <c r="M32" s="6">
        <f>J32+180</f>
        <v>44781</v>
      </c>
      <c r="N32" s="341"/>
      <c r="O32" s="341"/>
      <c r="P32" s="6"/>
      <c r="Q32" s="5" t="s">
        <v>255</v>
      </c>
      <c r="R32" s="141"/>
    </row>
    <row r="33" spans="1:19" s="5" customFormat="1" ht="11.4">
      <c r="A33" s="5">
        <v>53</v>
      </c>
      <c r="B33" s="5">
        <v>53</v>
      </c>
      <c r="C33" s="5">
        <v>5495</v>
      </c>
      <c r="D33" s="5" t="s">
        <v>507</v>
      </c>
      <c r="E33" s="5" t="s">
        <v>475</v>
      </c>
      <c r="F33" s="26" t="s">
        <v>401</v>
      </c>
      <c r="G33" s="26" t="s">
        <v>81</v>
      </c>
      <c r="H33" s="344">
        <v>50000000</v>
      </c>
      <c r="I33" s="344">
        <f t="shared" si="0"/>
        <v>50000000</v>
      </c>
      <c r="J33" s="6">
        <v>44601</v>
      </c>
      <c r="K33" s="6">
        <f t="shared" si="1"/>
        <v>44636</v>
      </c>
      <c r="L33" s="341">
        <v>50000000</v>
      </c>
      <c r="M33" s="6">
        <f>J33+180</f>
        <v>44781</v>
      </c>
      <c r="N33" s="341"/>
      <c r="O33" s="341"/>
      <c r="P33" s="6"/>
      <c r="Q33" s="5" t="s">
        <v>255</v>
      </c>
      <c r="R33" s="141"/>
    </row>
    <row r="34" spans="1:19" s="371" customFormat="1" ht="11.4">
      <c r="A34" s="371">
        <v>55</v>
      </c>
      <c r="B34" s="371">
        <v>55</v>
      </c>
      <c r="C34" s="371">
        <v>5496</v>
      </c>
      <c r="D34" s="371" t="s">
        <v>507</v>
      </c>
      <c r="E34" s="371" t="s">
        <v>496</v>
      </c>
      <c r="F34" s="514" t="s">
        <v>497</v>
      </c>
      <c r="G34" s="514" t="s">
        <v>498</v>
      </c>
      <c r="H34" s="515">
        <v>40000000</v>
      </c>
      <c r="I34" s="515">
        <f t="shared" si="0"/>
        <v>40000000</v>
      </c>
      <c r="J34" s="516">
        <v>44602</v>
      </c>
      <c r="K34" s="516">
        <f t="shared" si="1"/>
        <v>44637</v>
      </c>
      <c r="L34" s="517"/>
      <c r="M34" s="516">
        <f>J34+150</f>
        <v>44752</v>
      </c>
      <c r="N34" s="517"/>
      <c r="O34" s="517"/>
      <c r="P34" s="516"/>
      <c r="Q34" s="371" t="s">
        <v>146</v>
      </c>
      <c r="R34" s="518"/>
    </row>
    <row r="35" spans="1:19" s="5" customFormat="1" ht="11.4">
      <c r="A35" s="5">
        <v>56</v>
      </c>
      <c r="B35" s="5">
        <v>56</v>
      </c>
      <c r="C35" s="5">
        <v>5497</v>
      </c>
      <c r="D35" s="5" t="s">
        <v>507</v>
      </c>
      <c r="E35" s="5" t="s">
        <v>499</v>
      </c>
      <c r="F35" s="26" t="s">
        <v>500</v>
      </c>
      <c r="G35" s="26" t="s">
        <v>213</v>
      </c>
      <c r="H35" s="344">
        <v>30000000</v>
      </c>
      <c r="I35" s="344">
        <f t="shared" si="0"/>
        <v>30000000</v>
      </c>
      <c r="J35" s="6">
        <v>44602</v>
      </c>
      <c r="K35" s="6">
        <f t="shared" si="1"/>
        <v>44637</v>
      </c>
      <c r="L35" s="341"/>
      <c r="M35" s="6">
        <f>J35+180</f>
        <v>44782</v>
      </c>
      <c r="N35" s="341"/>
      <c r="O35" s="341"/>
      <c r="P35" s="6"/>
      <c r="Q35" s="5" t="s">
        <v>255</v>
      </c>
      <c r="R35" s="141"/>
    </row>
    <row r="36" spans="1:19" s="5" customFormat="1" ht="11.4">
      <c r="A36" s="5" t="s">
        <v>146</v>
      </c>
      <c r="B36" s="5" t="s">
        <v>146</v>
      </c>
      <c r="C36" s="5">
        <v>5498</v>
      </c>
      <c r="D36" s="5" t="s">
        <v>507</v>
      </c>
      <c r="E36" s="5" t="s">
        <v>214</v>
      </c>
      <c r="F36" s="26" t="s">
        <v>359</v>
      </c>
      <c r="G36" s="26" t="s">
        <v>81</v>
      </c>
      <c r="H36" s="344">
        <v>10000000</v>
      </c>
      <c r="I36" s="344">
        <f t="shared" si="0"/>
        <v>10000000</v>
      </c>
      <c r="J36" s="6">
        <v>44602</v>
      </c>
      <c r="K36" s="6">
        <f t="shared" si="1"/>
        <v>44637</v>
      </c>
      <c r="L36" s="341"/>
      <c r="M36" s="6">
        <f>J36+180</f>
        <v>44782</v>
      </c>
      <c r="N36" s="341"/>
      <c r="O36" s="341"/>
      <c r="P36" s="6"/>
      <c r="Q36" s="5">
        <v>0</v>
      </c>
      <c r="R36" s="502" t="s">
        <v>540</v>
      </c>
    </row>
    <row r="37" spans="1:19" s="13" customFormat="1">
      <c r="A37" s="13" t="s">
        <v>146</v>
      </c>
      <c r="B37" s="13" t="s">
        <v>146</v>
      </c>
      <c r="C37" s="13">
        <v>5499</v>
      </c>
      <c r="D37" s="13" t="s">
        <v>315</v>
      </c>
      <c r="E37" s="13" t="s">
        <v>157</v>
      </c>
      <c r="F37" s="36" t="s">
        <v>399</v>
      </c>
      <c r="G37" s="36" t="s">
        <v>400</v>
      </c>
      <c r="H37" s="409">
        <v>20000000</v>
      </c>
      <c r="I37" s="409">
        <f t="shared" si="0"/>
        <v>20000000</v>
      </c>
      <c r="J37" s="11">
        <v>44602</v>
      </c>
      <c r="K37" s="11">
        <f t="shared" si="1"/>
        <v>44637</v>
      </c>
      <c r="L37" s="286">
        <v>0</v>
      </c>
      <c r="M37" s="11">
        <f>J37+180</f>
        <v>44782</v>
      </c>
      <c r="N37" s="286"/>
      <c r="O37" s="286">
        <f>I37-L37</f>
        <v>20000000</v>
      </c>
      <c r="P37" s="11">
        <v>44614</v>
      </c>
      <c r="Q37" s="13" t="s">
        <v>255</v>
      </c>
      <c r="R37" s="92"/>
    </row>
    <row r="38" spans="1:19" s="371" customFormat="1" ht="11.4">
      <c r="A38" s="371" t="s">
        <v>146</v>
      </c>
      <c r="B38" s="371" t="s">
        <v>146</v>
      </c>
      <c r="C38" s="371">
        <v>5500</v>
      </c>
      <c r="D38" s="371" t="s">
        <v>507</v>
      </c>
      <c r="E38" s="371" t="s">
        <v>300</v>
      </c>
      <c r="F38" s="514" t="s">
        <v>352</v>
      </c>
      <c r="G38" s="514" t="s">
        <v>151</v>
      </c>
      <c r="H38" s="515">
        <v>145548078</v>
      </c>
      <c r="I38" s="517">
        <f t="shared" si="0"/>
        <v>145548078</v>
      </c>
      <c r="J38" s="516">
        <v>44602</v>
      </c>
      <c r="K38" s="516">
        <f t="shared" si="1"/>
        <v>44637</v>
      </c>
      <c r="L38" s="517">
        <f>I38</f>
        <v>145548078</v>
      </c>
      <c r="M38" s="516">
        <f>J38+210</f>
        <v>44812</v>
      </c>
      <c r="N38" s="517"/>
      <c r="O38" s="517"/>
      <c r="P38" s="516"/>
      <c r="Q38" s="371" t="s">
        <v>146</v>
      </c>
      <c r="R38" s="518"/>
    </row>
    <row r="39" spans="1:19" s="5" customFormat="1" ht="11.4">
      <c r="A39" s="5" t="s">
        <v>146</v>
      </c>
      <c r="B39" s="5" t="s">
        <v>146</v>
      </c>
      <c r="C39" s="5">
        <v>5501</v>
      </c>
      <c r="D39" s="5" t="s">
        <v>507</v>
      </c>
      <c r="E39" s="5" t="s">
        <v>152</v>
      </c>
      <c r="F39" s="26" t="s">
        <v>501</v>
      </c>
      <c r="G39" s="26" t="s">
        <v>81</v>
      </c>
      <c r="H39" s="344">
        <v>40000000</v>
      </c>
      <c r="I39" s="341">
        <f t="shared" si="0"/>
        <v>40000000</v>
      </c>
      <c r="J39" s="6">
        <v>44602</v>
      </c>
      <c r="K39" s="6">
        <f t="shared" si="1"/>
        <v>44637</v>
      </c>
      <c r="L39" s="341"/>
      <c r="M39" s="6">
        <f t="shared" ref="M39:M48" si="2">J39+180</f>
        <v>44782</v>
      </c>
      <c r="N39" s="341"/>
      <c r="O39" s="341"/>
      <c r="P39" s="6"/>
      <c r="Q39" s="5" t="s">
        <v>255</v>
      </c>
      <c r="R39" s="141"/>
    </row>
    <row r="40" spans="1:19" s="5" customFormat="1" ht="11.4">
      <c r="A40" s="5" t="s">
        <v>146</v>
      </c>
      <c r="B40" s="5" t="s">
        <v>146</v>
      </c>
      <c r="C40" s="5">
        <v>5460</v>
      </c>
      <c r="D40" s="5" t="s">
        <v>507</v>
      </c>
      <c r="E40" s="5" t="s">
        <v>354</v>
      </c>
      <c r="F40" s="26" t="s">
        <v>355</v>
      </c>
      <c r="G40" s="26" t="s">
        <v>356</v>
      </c>
      <c r="H40" s="344">
        <v>13500000</v>
      </c>
      <c r="I40" s="341">
        <f t="shared" si="0"/>
        <v>13500000</v>
      </c>
      <c r="J40" s="6">
        <v>44581</v>
      </c>
      <c r="K40" s="6">
        <f t="shared" si="1"/>
        <v>44616</v>
      </c>
      <c r="L40" s="341">
        <v>13500000</v>
      </c>
      <c r="M40" s="6">
        <f t="shared" si="2"/>
        <v>44761</v>
      </c>
      <c r="N40" s="341"/>
      <c r="O40" s="341"/>
      <c r="P40" s="6"/>
      <c r="Q40" s="5" t="s">
        <v>255</v>
      </c>
      <c r="R40" s="141"/>
      <c r="S40" s="371" t="s">
        <v>520</v>
      </c>
    </row>
    <row r="41" spans="1:19" s="5" customFormat="1" ht="11.4">
      <c r="A41" s="5" t="s">
        <v>146</v>
      </c>
      <c r="B41" s="5" t="s">
        <v>146</v>
      </c>
      <c r="C41" s="5">
        <v>5489</v>
      </c>
      <c r="D41" s="5" t="s">
        <v>507</v>
      </c>
      <c r="E41" s="5" t="s">
        <v>308</v>
      </c>
      <c r="F41" s="26" t="s">
        <v>532</v>
      </c>
      <c r="G41" s="26" t="s">
        <v>80</v>
      </c>
      <c r="H41" s="344">
        <v>35000000</v>
      </c>
      <c r="I41" s="341">
        <f t="shared" si="0"/>
        <v>35000000</v>
      </c>
      <c r="J41" s="6">
        <v>44597</v>
      </c>
      <c r="K41" s="6">
        <f t="shared" si="1"/>
        <v>44632</v>
      </c>
      <c r="L41" s="341">
        <v>35000000</v>
      </c>
      <c r="M41" s="6">
        <f t="shared" si="2"/>
        <v>44777</v>
      </c>
      <c r="N41" s="341"/>
      <c r="O41" s="341"/>
      <c r="P41" s="6"/>
      <c r="Q41" s="5" t="s">
        <v>206</v>
      </c>
      <c r="R41" s="502" t="s">
        <v>553</v>
      </c>
      <c r="S41" s="371" t="s">
        <v>557</v>
      </c>
    </row>
    <row r="42" spans="1:19" s="5" customFormat="1" ht="11.4">
      <c r="A42" s="5" t="s">
        <v>146</v>
      </c>
      <c r="B42" s="5" t="s">
        <v>146</v>
      </c>
      <c r="C42" s="5">
        <v>5502</v>
      </c>
      <c r="D42" s="5" t="s">
        <v>507</v>
      </c>
      <c r="E42" s="5" t="s">
        <v>365</v>
      </c>
      <c r="F42" s="26" t="s">
        <v>484</v>
      </c>
      <c r="G42" s="26" t="s">
        <v>269</v>
      </c>
      <c r="H42" s="344">
        <v>50000000</v>
      </c>
      <c r="I42" s="341">
        <f t="shared" ref="I42:I47" si="3">H42</f>
        <v>50000000</v>
      </c>
      <c r="J42" s="6">
        <v>44603</v>
      </c>
      <c r="K42" s="6">
        <f t="shared" si="1"/>
        <v>44638</v>
      </c>
      <c r="L42" s="341">
        <v>50000000</v>
      </c>
      <c r="M42" s="6">
        <f t="shared" si="2"/>
        <v>44783</v>
      </c>
      <c r="N42" s="341"/>
      <c r="O42" s="341"/>
      <c r="P42" s="6"/>
      <c r="Q42" s="5" t="s">
        <v>255</v>
      </c>
      <c r="R42" s="141"/>
      <c r="S42" s="371"/>
    </row>
    <row r="43" spans="1:19" s="5" customFormat="1" ht="11.4">
      <c r="A43" s="5" t="s">
        <v>146</v>
      </c>
      <c r="B43" s="5" t="s">
        <v>146</v>
      </c>
      <c r="C43" s="5">
        <v>5503</v>
      </c>
      <c r="D43" s="5" t="s">
        <v>507</v>
      </c>
      <c r="E43" s="5" t="s">
        <v>221</v>
      </c>
      <c r="F43" s="26" t="s">
        <v>559</v>
      </c>
      <c r="G43" s="26" t="s">
        <v>95</v>
      </c>
      <c r="H43" s="344">
        <v>52000000</v>
      </c>
      <c r="I43" s="341">
        <f t="shared" si="3"/>
        <v>52000000</v>
      </c>
      <c r="J43" s="6">
        <v>44603</v>
      </c>
      <c r="K43" s="6">
        <f t="shared" si="1"/>
        <v>44638</v>
      </c>
      <c r="L43" s="341"/>
      <c r="M43" s="6">
        <f t="shared" si="2"/>
        <v>44783</v>
      </c>
      <c r="N43" s="341"/>
      <c r="O43" s="341"/>
      <c r="P43" s="6"/>
      <c r="Q43" s="5" t="s">
        <v>255</v>
      </c>
      <c r="R43" s="141"/>
      <c r="S43" s="371"/>
    </row>
    <row r="44" spans="1:19" s="5" customFormat="1" ht="11.4">
      <c r="A44" s="5" t="s">
        <v>146</v>
      </c>
      <c r="B44" s="5" t="s">
        <v>146</v>
      </c>
      <c r="C44" s="5">
        <v>5504</v>
      </c>
      <c r="D44" s="5" t="s">
        <v>507</v>
      </c>
      <c r="E44" s="5" t="s">
        <v>286</v>
      </c>
      <c r="F44" s="26" t="s">
        <v>563</v>
      </c>
      <c r="G44" s="26" t="s">
        <v>80</v>
      </c>
      <c r="H44" s="344">
        <v>30000000</v>
      </c>
      <c r="I44" s="341">
        <f t="shared" si="3"/>
        <v>30000000</v>
      </c>
      <c r="J44" s="6">
        <v>44603</v>
      </c>
      <c r="K44" s="6">
        <f t="shared" si="1"/>
        <v>44638</v>
      </c>
      <c r="L44" s="341"/>
      <c r="M44" s="6">
        <f t="shared" si="2"/>
        <v>44783</v>
      </c>
      <c r="N44" s="341"/>
      <c r="O44" s="341"/>
      <c r="P44" s="6"/>
      <c r="Q44" s="5" t="s">
        <v>255</v>
      </c>
      <c r="R44" s="141"/>
      <c r="S44" s="371" t="s">
        <v>565</v>
      </c>
    </row>
    <row r="45" spans="1:19" s="5" customFormat="1" ht="11.4">
      <c r="A45" s="5" t="s">
        <v>146</v>
      </c>
      <c r="B45" s="5" t="s">
        <v>146</v>
      </c>
      <c r="C45" s="5">
        <v>5507</v>
      </c>
      <c r="D45" s="5" t="s">
        <v>507</v>
      </c>
      <c r="E45" s="5" t="s">
        <v>286</v>
      </c>
      <c r="F45" s="26" t="s">
        <v>570</v>
      </c>
      <c r="G45" s="26" t="s">
        <v>80</v>
      </c>
      <c r="H45" s="344">
        <v>20000000</v>
      </c>
      <c r="I45" s="341">
        <f t="shared" si="3"/>
        <v>20000000</v>
      </c>
      <c r="J45" s="6">
        <v>44611</v>
      </c>
      <c r="K45" s="6">
        <f t="shared" si="1"/>
        <v>44646</v>
      </c>
      <c r="L45" s="341"/>
      <c r="M45" s="6">
        <f t="shared" si="2"/>
        <v>44791</v>
      </c>
      <c r="N45" s="341"/>
      <c r="O45" s="341"/>
      <c r="P45" s="6"/>
      <c r="Q45" s="5" t="s">
        <v>255</v>
      </c>
      <c r="R45" s="141"/>
      <c r="S45" s="371" t="s">
        <v>581</v>
      </c>
    </row>
    <row r="46" spans="1:19" s="5" customFormat="1" ht="11.4">
      <c r="A46" s="5" t="s">
        <v>146</v>
      </c>
      <c r="B46" s="5" t="s">
        <v>146</v>
      </c>
      <c r="C46" s="5">
        <v>5508</v>
      </c>
      <c r="D46" s="5" t="s">
        <v>507</v>
      </c>
      <c r="E46" s="5" t="s">
        <v>286</v>
      </c>
      <c r="F46" s="26" t="s">
        <v>571</v>
      </c>
      <c r="G46" s="26" t="s">
        <v>80</v>
      </c>
      <c r="H46" s="344">
        <v>20000000</v>
      </c>
      <c r="I46" s="341">
        <f t="shared" si="3"/>
        <v>20000000</v>
      </c>
      <c r="J46" s="6">
        <v>44614</v>
      </c>
      <c r="K46" s="6">
        <f t="shared" si="1"/>
        <v>44649</v>
      </c>
      <c r="L46" s="341"/>
      <c r="M46" s="6">
        <f t="shared" si="2"/>
        <v>44794</v>
      </c>
      <c r="N46" s="341"/>
      <c r="O46" s="341"/>
      <c r="P46" s="6"/>
      <c r="Q46" s="5" t="s">
        <v>255</v>
      </c>
      <c r="R46" s="141"/>
      <c r="S46" s="371" t="s">
        <v>582</v>
      </c>
    </row>
    <row r="47" spans="1:19" s="5" customFormat="1" ht="11.4">
      <c r="A47" s="5" t="s">
        <v>146</v>
      </c>
      <c r="B47" s="5" t="s">
        <v>146</v>
      </c>
      <c r="C47" s="5">
        <v>5512</v>
      </c>
      <c r="D47" s="5" t="s">
        <v>507</v>
      </c>
      <c r="E47" s="5" t="s">
        <v>261</v>
      </c>
      <c r="F47" s="26" t="s">
        <v>592</v>
      </c>
      <c r="G47" s="26" t="s">
        <v>78</v>
      </c>
      <c r="H47" s="344">
        <v>72774039</v>
      </c>
      <c r="I47" s="341">
        <f t="shared" si="3"/>
        <v>72774039</v>
      </c>
      <c r="J47" s="6">
        <v>44623</v>
      </c>
      <c r="K47" s="6">
        <f t="shared" si="1"/>
        <v>44658</v>
      </c>
      <c r="L47" s="341"/>
      <c r="M47" s="6">
        <f t="shared" si="2"/>
        <v>44803</v>
      </c>
      <c r="N47" s="341"/>
      <c r="O47" s="341"/>
      <c r="P47" s="6"/>
      <c r="Q47" s="5" t="s">
        <v>255</v>
      </c>
      <c r="R47" s="141"/>
      <c r="S47" s="371"/>
    </row>
    <row r="48" spans="1:19" s="5" customFormat="1" ht="11.4">
      <c r="A48" s="5" t="s">
        <v>146</v>
      </c>
      <c r="B48" s="5" t="s">
        <v>146</v>
      </c>
      <c r="C48" s="5">
        <v>5518</v>
      </c>
      <c r="D48" s="5" t="s">
        <v>507</v>
      </c>
      <c r="E48" s="5" t="s">
        <v>286</v>
      </c>
      <c r="F48" s="26" t="s">
        <v>493</v>
      </c>
      <c r="G48" s="26" t="s">
        <v>210</v>
      </c>
      <c r="H48" s="344">
        <v>30000000</v>
      </c>
      <c r="I48" s="341">
        <f>H48</f>
        <v>30000000</v>
      </c>
      <c r="J48" s="6">
        <v>44628</v>
      </c>
      <c r="K48" s="6">
        <f t="shared" si="1"/>
        <v>44663</v>
      </c>
      <c r="L48" s="341"/>
      <c r="M48" s="6">
        <f t="shared" si="2"/>
        <v>44808</v>
      </c>
      <c r="N48" s="341"/>
      <c r="O48" s="341"/>
      <c r="P48" s="6"/>
      <c r="Q48" s="5" t="s">
        <v>255</v>
      </c>
      <c r="R48" s="141"/>
      <c r="S48" s="371"/>
    </row>
    <row r="49" spans="1:18" s="510" customFormat="1" ht="11.4">
      <c r="A49" s="510" t="s">
        <v>146</v>
      </c>
      <c r="B49" s="510" t="s">
        <v>146</v>
      </c>
      <c r="C49" s="510">
        <v>5519</v>
      </c>
      <c r="D49" s="510" t="s">
        <v>507</v>
      </c>
      <c r="E49" s="510" t="s">
        <v>606</v>
      </c>
      <c r="F49" s="543" t="s">
        <v>607</v>
      </c>
      <c r="G49" s="543" t="s">
        <v>608</v>
      </c>
      <c r="H49" s="544">
        <v>145548078</v>
      </c>
      <c r="I49" s="545">
        <f>H49</f>
        <v>145548078</v>
      </c>
      <c r="J49" s="546">
        <v>44630</v>
      </c>
      <c r="K49" s="546">
        <f t="shared" si="1"/>
        <v>44665</v>
      </c>
      <c r="L49" s="545"/>
      <c r="M49" s="546">
        <f>J49+150</f>
        <v>44780</v>
      </c>
      <c r="N49" s="545"/>
      <c r="O49" s="545"/>
      <c r="P49" s="546"/>
      <c r="Q49" s="510" t="s">
        <v>146</v>
      </c>
      <c r="R49" s="547"/>
    </row>
    <row r="50" spans="1:18" s="13" customFormat="1">
      <c r="F50" s="36"/>
      <c r="G50" s="36"/>
      <c r="H50" s="66"/>
      <c r="I50" s="27"/>
      <c r="J50" s="11"/>
      <c r="K50" s="11"/>
      <c r="L50" s="27"/>
      <c r="M50" s="11"/>
      <c r="N50" s="27"/>
      <c r="O50" s="27"/>
      <c r="P50" s="11"/>
      <c r="R50" s="11"/>
    </row>
    <row r="51" spans="1:18" s="13" customFormat="1">
      <c r="A51" s="43"/>
      <c r="B51" s="43"/>
      <c r="C51" s="43"/>
      <c r="D51" s="43"/>
      <c r="E51" s="1"/>
      <c r="F51" s="13" t="s">
        <v>19</v>
      </c>
      <c r="H51" s="261">
        <f>SUM(H7:H50)</f>
        <v>1594718273</v>
      </c>
      <c r="I51" s="261">
        <f>SUM(I7:I50)</f>
        <v>1594718273</v>
      </c>
      <c r="J51" s="3"/>
      <c r="K51" s="1"/>
      <c r="L51" s="261">
        <f>SUM(L7:L50)</f>
        <v>683596156</v>
      </c>
      <c r="M51" s="3"/>
      <c r="N51" s="261">
        <f>SUM(N7:N50)</f>
        <v>0</v>
      </c>
      <c r="O51" s="261">
        <f>SUM(O7:O50)</f>
        <v>332800000</v>
      </c>
    </row>
    <row r="52" spans="1:18">
      <c r="A52" s="5"/>
      <c r="B52" s="5"/>
      <c r="C52" s="5"/>
      <c r="D52" s="87"/>
      <c r="F52" s="13"/>
      <c r="J52" s="3"/>
      <c r="K52" s="3"/>
      <c r="M52" s="3"/>
    </row>
    <row r="53" spans="1:18">
      <c r="A53" s="5"/>
      <c r="B53" s="5"/>
      <c r="C53" s="5"/>
      <c r="E53" s="5"/>
      <c r="F53" s="13" t="s">
        <v>43</v>
      </c>
      <c r="G53" s="5"/>
      <c r="H53" s="34">
        <f>H51-I51</f>
        <v>0</v>
      </c>
      <c r="I53" s="9"/>
      <c r="J53" s="3"/>
      <c r="K53" s="3"/>
      <c r="M53" s="76"/>
    </row>
    <row r="54" spans="1:18">
      <c r="A54" s="5"/>
      <c r="B54" s="5"/>
      <c r="C54" s="5"/>
      <c r="E54" s="132"/>
      <c r="G54" s="5"/>
      <c r="H54" s="67"/>
      <c r="I54" s="9"/>
      <c r="J54" s="3"/>
      <c r="K54" s="3"/>
      <c r="L54" s="166"/>
      <c r="M54" s="76"/>
      <c r="N54" s="82"/>
      <c r="O54" s="3"/>
    </row>
    <row r="55" spans="1:18">
      <c r="A55" s="5"/>
      <c r="B55" s="5"/>
      <c r="C55" s="5"/>
      <c r="E55" s="132"/>
      <c r="F55" s="58" t="s">
        <v>75</v>
      </c>
      <c r="G55" s="5"/>
      <c r="H55" s="77">
        <f>E1-I51+O51+G68</f>
        <v>218578085</v>
      </c>
      <c r="J55" s="3"/>
      <c r="K55" s="3"/>
      <c r="L55" s="166"/>
      <c r="M55" s="3"/>
      <c r="N55" s="9"/>
    </row>
    <row r="56" spans="1:18">
      <c r="A56" s="5"/>
      <c r="B56" s="5"/>
      <c r="C56" s="5"/>
      <c r="H56" s="249"/>
      <c r="J56" s="345"/>
      <c r="K56" s="3"/>
      <c r="L56" s="255"/>
      <c r="M56" s="3"/>
      <c r="N56" s="9"/>
    </row>
    <row r="57" spans="1:18">
      <c r="A57" s="5"/>
      <c r="B57" s="5"/>
      <c r="C57" s="5"/>
      <c r="H57" s="82"/>
      <c r="I57" s="170"/>
      <c r="J57" s="3"/>
      <c r="K57" s="3"/>
      <c r="L57" s="255"/>
      <c r="M57" s="3"/>
      <c r="N57" s="82"/>
    </row>
    <row r="58" spans="1:18" s="13" customFormat="1">
      <c r="G58" s="147"/>
      <c r="H58" s="352"/>
      <c r="I58" s="307"/>
      <c r="J58" s="3"/>
      <c r="K58" s="11"/>
      <c r="L58" s="430"/>
      <c r="M58" s="11"/>
      <c r="N58" s="80"/>
      <c r="P58" s="11"/>
      <c r="R58" s="43"/>
    </row>
    <row r="59" spans="1:18" s="13" customFormat="1">
      <c r="C59" s="43"/>
      <c r="D59" s="1"/>
      <c r="E59" s="147"/>
      <c r="F59" s="43"/>
      <c r="G59" s="9"/>
      <c r="H59" s="208"/>
      <c r="I59" s="307"/>
      <c r="J59" s="3"/>
      <c r="K59" s="398"/>
      <c r="L59" s="342"/>
      <c r="M59" s="10"/>
      <c r="N59" s="10"/>
      <c r="O59" s="10"/>
      <c r="P59" s="11"/>
      <c r="R59" s="43"/>
    </row>
    <row r="60" spans="1:18" s="13" customFormat="1">
      <c r="C60" s="13">
        <v>5390</v>
      </c>
      <c r="D60" s="13" t="s">
        <v>77</v>
      </c>
      <c r="E60" s="36" t="s">
        <v>354</v>
      </c>
      <c r="F60" s="36" t="s">
        <v>94</v>
      </c>
      <c r="G60" s="9">
        <v>13500000</v>
      </c>
      <c r="H60" s="498" t="s">
        <v>519</v>
      </c>
      <c r="I60" s="307"/>
      <c r="J60" s="350"/>
      <c r="K60" s="11"/>
      <c r="L60" s="352"/>
      <c r="M60" s="49"/>
      <c r="N60" s="352"/>
      <c r="O60" s="286"/>
      <c r="P60" s="11"/>
      <c r="R60" s="43"/>
    </row>
    <row r="61" spans="1:18" s="13" customFormat="1">
      <c r="C61" s="13">
        <v>5391</v>
      </c>
      <c r="D61" s="13" t="s">
        <v>77</v>
      </c>
      <c r="E61" s="13" t="s">
        <v>152</v>
      </c>
      <c r="F61" s="36" t="s">
        <v>94</v>
      </c>
      <c r="G61" s="9">
        <f>30000000</f>
        <v>30000000</v>
      </c>
      <c r="H61" s="498" t="s">
        <v>596</v>
      </c>
      <c r="I61" s="307"/>
      <c r="J61" s="350"/>
      <c r="K61" s="11"/>
      <c r="L61" s="352"/>
      <c r="M61" s="49"/>
      <c r="N61" s="352"/>
      <c r="O61" s="286"/>
      <c r="P61" s="11"/>
      <c r="R61" s="43"/>
    </row>
    <row r="62" spans="1:18" s="13" customFormat="1">
      <c r="C62" s="13">
        <v>5203</v>
      </c>
      <c r="D62" s="13" t="s">
        <v>77</v>
      </c>
      <c r="E62" s="13" t="s">
        <v>308</v>
      </c>
      <c r="F62" s="36" t="s">
        <v>94</v>
      </c>
      <c r="G62" s="9">
        <v>35000000</v>
      </c>
      <c r="H62" s="498" t="s">
        <v>556</v>
      </c>
      <c r="I62" s="307"/>
      <c r="J62" s="350"/>
      <c r="K62" s="11"/>
      <c r="L62" s="352"/>
      <c r="M62" s="49"/>
      <c r="N62" s="352"/>
      <c r="O62" s="286"/>
      <c r="P62" s="11"/>
      <c r="R62" s="43"/>
    </row>
    <row r="63" spans="1:18" s="13" customFormat="1">
      <c r="C63" s="13">
        <v>5413</v>
      </c>
      <c r="D63" s="13" t="s">
        <v>77</v>
      </c>
      <c r="E63" s="13" t="s">
        <v>286</v>
      </c>
      <c r="F63" s="36" t="s">
        <v>94</v>
      </c>
      <c r="G63" s="9">
        <v>30000000</v>
      </c>
      <c r="H63" s="498" t="s">
        <v>564</v>
      </c>
      <c r="I63" s="307"/>
      <c r="J63" s="350"/>
      <c r="K63" s="11"/>
      <c r="L63" s="352"/>
      <c r="M63" s="49"/>
      <c r="N63" s="352"/>
      <c r="O63" s="286"/>
      <c r="P63" s="11"/>
      <c r="R63" s="43"/>
    </row>
    <row r="64" spans="1:18" s="13" customFormat="1">
      <c r="C64" s="13">
        <v>5414</v>
      </c>
      <c r="D64" s="13" t="s">
        <v>77</v>
      </c>
      <c r="E64" s="13" t="s">
        <v>286</v>
      </c>
      <c r="F64" s="36" t="s">
        <v>94</v>
      </c>
      <c r="G64" s="9">
        <v>20000000</v>
      </c>
      <c r="H64" s="498" t="s">
        <v>579</v>
      </c>
      <c r="I64" s="307"/>
      <c r="J64" s="350"/>
      <c r="K64" s="11"/>
      <c r="L64" s="352"/>
      <c r="M64" s="49"/>
      <c r="N64" s="352"/>
      <c r="O64" s="286"/>
      <c r="P64" s="11"/>
      <c r="R64" s="43"/>
    </row>
    <row r="65" spans="3:18" s="13" customFormat="1">
      <c r="C65" s="13">
        <v>5415</v>
      </c>
      <c r="D65" s="13" t="s">
        <v>77</v>
      </c>
      <c r="E65" s="13" t="s">
        <v>286</v>
      </c>
      <c r="F65" s="36" t="s">
        <v>94</v>
      </c>
      <c r="G65" s="9">
        <v>20000000</v>
      </c>
      <c r="H65" s="498" t="s">
        <v>580</v>
      </c>
      <c r="I65" s="307"/>
      <c r="J65" s="350"/>
      <c r="K65" s="11"/>
      <c r="L65" s="352"/>
      <c r="M65" s="49"/>
      <c r="N65" s="352"/>
      <c r="O65" s="286"/>
      <c r="P65" s="11"/>
      <c r="R65" s="43"/>
    </row>
    <row r="66" spans="3:18" s="13" customFormat="1">
      <c r="C66" s="13">
        <v>5259</v>
      </c>
      <c r="D66" s="13" t="s">
        <v>77</v>
      </c>
      <c r="E66" s="13" t="s">
        <v>261</v>
      </c>
      <c r="F66" s="36" t="s">
        <v>94</v>
      </c>
      <c r="G66" s="9">
        <v>6400000</v>
      </c>
      <c r="H66" s="208" t="s">
        <v>597</v>
      </c>
      <c r="I66" s="307"/>
      <c r="J66" s="350"/>
      <c r="K66" s="11"/>
      <c r="L66" s="352"/>
      <c r="M66" s="49"/>
      <c r="N66" s="352"/>
      <c r="O66" s="286"/>
      <c r="P66" s="11"/>
      <c r="R66" s="43"/>
    </row>
    <row r="67" spans="3:18" s="13" customFormat="1">
      <c r="C67" s="13">
        <v>5424</v>
      </c>
      <c r="D67" s="13" t="s">
        <v>77</v>
      </c>
      <c r="E67" s="13" t="s">
        <v>372</v>
      </c>
      <c r="F67" s="36" t="s">
        <v>94</v>
      </c>
      <c r="G67" s="422">
        <v>62752737</v>
      </c>
      <c r="H67" s="208" t="s">
        <v>598</v>
      </c>
      <c r="I67" s="307"/>
      <c r="J67" s="350"/>
      <c r="K67" s="11"/>
      <c r="L67" s="352"/>
      <c r="M67" s="49"/>
      <c r="N67" s="352"/>
      <c r="O67" s="286"/>
      <c r="P67" s="11"/>
      <c r="R67" s="43"/>
    </row>
    <row r="68" spans="3:18">
      <c r="C68" s="13"/>
      <c r="D68" s="13"/>
      <c r="E68" s="13"/>
      <c r="F68" s="36"/>
      <c r="G68" s="297">
        <f>SUM(G60:G67)</f>
        <v>217652737</v>
      </c>
      <c r="H68" s="3"/>
      <c r="I68" s="3"/>
      <c r="J68" s="3"/>
      <c r="M68" s="383"/>
      <c r="N68" s="166"/>
    </row>
    <row r="69" spans="3:18">
      <c r="E69" s="43"/>
      <c r="I69" s="82"/>
      <c r="J69" s="3"/>
      <c r="M69" s="383"/>
      <c r="N69" s="434"/>
      <c r="Q69" s="1"/>
    </row>
    <row r="70" spans="3:18">
      <c r="J70" s="3"/>
      <c r="N70" s="435"/>
      <c r="Q70" s="1"/>
    </row>
    <row r="71" spans="3:18">
      <c r="C71" s="13"/>
      <c r="D71" s="13"/>
      <c r="E71" s="13"/>
      <c r="F71" s="36"/>
      <c r="J71" s="3"/>
      <c r="Q71" s="1"/>
    </row>
    <row r="72" spans="3:18">
      <c r="J72" s="3"/>
      <c r="Q72" s="1"/>
    </row>
    <row r="73" spans="3:18">
      <c r="J73" s="3"/>
      <c r="Q73" s="1"/>
    </row>
    <row r="74" spans="3:18">
      <c r="G74" s="166"/>
      <c r="Q74" s="1"/>
    </row>
    <row r="75" spans="3:18">
      <c r="G75" s="14"/>
      <c r="H75" s="1"/>
      <c r="Q75" s="1"/>
    </row>
    <row r="76" spans="3:18">
      <c r="G76" s="383"/>
      <c r="Q76" s="1"/>
    </row>
    <row r="77" spans="3:18">
      <c r="G77" s="3"/>
      <c r="H77" s="3"/>
      <c r="I77" s="3"/>
      <c r="J77" s="3"/>
      <c r="K77" s="3"/>
      <c r="L77" s="3"/>
      <c r="M77" s="3"/>
      <c r="Q77" s="1"/>
    </row>
    <row r="78" spans="3:18">
      <c r="G78" s="3"/>
      <c r="H78" s="3"/>
      <c r="I78" s="3"/>
      <c r="J78" s="3"/>
      <c r="K78" s="3"/>
      <c r="L78" s="3"/>
      <c r="M78" s="3"/>
      <c r="Q78" s="1"/>
    </row>
    <row r="79" spans="3:18">
      <c r="H79" s="1"/>
      <c r="L79" s="1"/>
      <c r="Q79" s="1"/>
    </row>
    <row r="80" spans="3:18">
      <c r="H80" s="1"/>
      <c r="L80" s="1"/>
      <c r="Q80" s="1"/>
    </row>
    <row r="81" spans="7:17">
      <c r="H81" s="1"/>
      <c r="L81" s="1"/>
      <c r="Q81" s="1"/>
    </row>
    <row r="82" spans="7:17">
      <c r="G82" s="167"/>
      <c r="H82" s="167"/>
      <c r="I82" s="167"/>
      <c r="J82" s="167"/>
      <c r="K82" s="167"/>
      <c r="L82" s="167"/>
      <c r="M82" s="167"/>
      <c r="Q82" s="1"/>
    </row>
    <row r="83" spans="7:17">
      <c r="G83" s="167"/>
      <c r="H83" s="167"/>
      <c r="I83" s="167"/>
      <c r="J83" s="167"/>
      <c r="K83" s="167"/>
      <c r="L83" s="167"/>
      <c r="M83" s="167"/>
      <c r="Q83" s="1"/>
    </row>
    <row r="84" spans="7:17">
      <c r="G84" s="166"/>
      <c r="Q84" s="1"/>
    </row>
    <row r="85" spans="7:17">
      <c r="G85" s="384"/>
      <c r="H85" s="1"/>
      <c r="L85" s="1"/>
      <c r="Q85" s="1"/>
    </row>
    <row r="86" spans="7:17">
      <c r="G86" s="385"/>
      <c r="H86" s="1"/>
      <c r="L86" s="1"/>
      <c r="Q86" s="1"/>
    </row>
    <row r="88" spans="7:17">
      <c r="G88" s="167"/>
      <c r="H88" s="1"/>
      <c r="L88" s="1"/>
      <c r="Q88" s="1"/>
    </row>
  </sheetData>
  <autoFilter ref="A6:S39" xr:uid="{00000000-0001-0000-1400-000000000000}">
    <sortState xmlns:xlrd2="http://schemas.microsoft.com/office/spreadsheetml/2017/richdata2" ref="A7:S39">
      <sortCondition ref="A6:A39"/>
    </sortState>
  </autoFilter>
  <phoneticPr fontId="0" type="noConversion"/>
  <pageMargins left="0.75" right="0.75" top="1" bottom="1" header="0.5" footer="0.5"/>
  <pageSetup scale="50" fitToHeight="3" orientation="landscape"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7DDEA-84D0-4385-AFF5-DD1DD9E55B68}">
  <sheetPr codeName="Sheet26"/>
  <dimension ref="A1:T47"/>
  <sheetViews>
    <sheetView zoomScaleNormal="100" workbookViewId="0">
      <selection activeCell="M38" sqref="M38"/>
    </sheetView>
  </sheetViews>
  <sheetFormatPr defaultRowHeight="11.4"/>
  <cols>
    <col min="1" max="1" width="9.75" style="454" customWidth="1"/>
    <col min="2" max="2" width="9.25" customWidth="1"/>
    <col min="3" max="3" width="41.125" bestFit="1" customWidth="1"/>
    <col min="4" max="4" width="32.625" customWidth="1"/>
    <col min="5" max="5" width="12.125" bestFit="1" customWidth="1"/>
    <col min="6" max="7" width="15.75" bestFit="1" customWidth="1"/>
    <col min="8" max="8" width="16.375" customWidth="1"/>
    <col min="9" max="9" width="10.375" customWidth="1"/>
    <col min="10" max="10" width="17.125" customWidth="1"/>
    <col min="11" max="11" width="10.375" customWidth="1"/>
    <col min="12" max="12" width="17.625" bestFit="1" customWidth="1"/>
    <col min="13" max="13" width="18.625" bestFit="1" customWidth="1"/>
    <col min="14" max="14" width="11" bestFit="1" customWidth="1"/>
    <col min="15" max="15" width="19.625" customWidth="1"/>
    <col min="16" max="16" width="13.625" bestFit="1" customWidth="1"/>
    <col min="17" max="17" width="12.75" customWidth="1"/>
    <col min="18" max="19" width="3" customWidth="1"/>
    <col min="20" max="20" width="26.75" bestFit="1" customWidth="1"/>
  </cols>
  <sheetData>
    <row r="1" spans="1:20" ht="13.2">
      <c r="A1" s="453"/>
      <c r="B1" s="158" t="s">
        <v>244</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302</v>
      </c>
    </row>
    <row r="4" spans="1:20" ht="13.8" thickBot="1">
      <c r="A4" s="153" t="s">
        <v>17</v>
      </c>
      <c r="B4" s="154"/>
      <c r="C4" s="155"/>
      <c r="D4" s="156"/>
      <c r="E4" s="156"/>
      <c r="F4" s="177"/>
      <c r="G4" s="177"/>
      <c r="H4" s="178"/>
      <c r="I4" s="178"/>
      <c r="J4" s="179"/>
      <c r="K4" s="178"/>
      <c r="L4" s="177"/>
      <c r="M4" s="177"/>
      <c r="N4" s="362" t="s">
        <v>9</v>
      </c>
      <c r="O4" s="362"/>
      <c r="P4" s="362"/>
      <c r="Q4" s="365" t="s">
        <v>9</v>
      </c>
      <c r="T4" s="335" t="s">
        <v>418</v>
      </c>
    </row>
    <row r="5" spans="1:20">
      <c r="A5" s="31" t="s">
        <v>243</v>
      </c>
    </row>
    <row r="6" spans="1:20" s="185" customFormat="1" ht="12">
      <c r="A6" s="5" t="s">
        <v>305</v>
      </c>
      <c r="B6" s="5" t="s">
        <v>77</v>
      </c>
      <c r="C6" s="5" t="s">
        <v>76</v>
      </c>
      <c r="D6" s="5" t="s">
        <v>270</v>
      </c>
      <c r="E6" s="5" t="s">
        <v>79</v>
      </c>
      <c r="F6" s="341">
        <v>29000000</v>
      </c>
      <c r="G6" s="341">
        <f>F6</f>
        <v>29000000</v>
      </c>
      <c r="H6" s="7">
        <v>43831</v>
      </c>
      <c r="I6" s="7">
        <v>43838</v>
      </c>
      <c r="J6" s="341">
        <v>29000000</v>
      </c>
      <c r="K6" s="7">
        <v>44925</v>
      </c>
      <c r="L6" s="341">
        <v>0</v>
      </c>
      <c r="M6" s="341">
        <f t="shared" ref="M6:M12" si="0">J6-L6</f>
        <v>29000000</v>
      </c>
      <c r="N6" s="7"/>
      <c r="O6" s="5">
        <v>3</v>
      </c>
      <c r="P6" s="5">
        <v>164</v>
      </c>
      <c r="Q6" s="6">
        <v>43818</v>
      </c>
      <c r="R6" s="411"/>
      <c r="T6" s="62">
        <f t="shared" ref="T6:T13" si="1">M6</f>
        <v>29000000</v>
      </c>
    </row>
    <row r="7" spans="1:20" ht="12">
      <c r="A7" s="31"/>
      <c r="H7" s="3"/>
      <c r="I7" s="3"/>
      <c r="K7" s="198"/>
      <c r="M7" s="341"/>
      <c r="P7" s="13"/>
      <c r="Q7" s="13"/>
      <c r="T7" s="62"/>
    </row>
    <row r="8" spans="1:20" ht="12.75" customHeight="1">
      <c r="A8" s="31" t="s">
        <v>148</v>
      </c>
      <c r="H8" s="3"/>
      <c r="I8" s="3"/>
      <c r="K8" s="198"/>
      <c r="M8" s="341"/>
      <c r="P8" s="13"/>
      <c r="Q8" s="13"/>
      <c r="T8" s="62"/>
    </row>
    <row r="9" spans="1:20" s="185" customFormat="1" ht="12">
      <c r="A9" s="5" t="s">
        <v>266</v>
      </c>
      <c r="B9" s="5" t="s">
        <v>77</v>
      </c>
      <c r="C9" s="5" t="s">
        <v>98</v>
      </c>
      <c r="D9" s="5" t="s">
        <v>165</v>
      </c>
      <c r="E9" s="5" t="s">
        <v>162</v>
      </c>
      <c r="F9" s="341">
        <v>50000000</v>
      </c>
      <c r="G9" s="341">
        <f t="shared" ref="G9:G11" si="2">F9</f>
        <v>50000000</v>
      </c>
      <c r="H9" s="7">
        <v>43831</v>
      </c>
      <c r="I9" s="7">
        <v>43838</v>
      </c>
      <c r="J9" s="341">
        <v>50000000</v>
      </c>
      <c r="K9" s="7">
        <v>44925</v>
      </c>
      <c r="L9" s="341">
        <v>0</v>
      </c>
      <c r="M9" s="341">
        <f t="shared" si="0"/>
        <v>50000000</v>
      </c>
      <c r="N9" s="7"/>
      <c r="O9" s="5">
        <v>3</v>
      </c>
      <c r="P9" s="5">
        <v>390</v>
      </c>
      <c r="Q9" s="6">
        <v>43466</v>
      </c>
      <c r="R9" s="411"/>
      <c r="T9" s="62">
        <f t="shared" si="1"/>
        <v>50000000</v>
      </c>
    </row>
    <row r="10" spans="1:20" s="185" customFormat="1" ht="12">
      <c r="A10" s="5" t="s">
        <v>267</v>
      </c>
      <c r="B10" s="5" t="s">
        <v>77</v>
      </c>
      <c r="C10" s="5" t="s">
        <v>259</v>
      </c>
      <c r="D10" s="5" t="s">
        <v>271</v>
      </c>
      <c r="E10" s="5" t="s">
        <v>79</v>
      </c>
      <c r="F10" s="341">
        <v>61260326</v>
      </c>
      <c r="G10" s="341">
        <f t="shared" si="2"/>
        <v>61260326</v>
      </c>
      <c r="H10" s="7">
        <v>43831</v>
      </c>
      <c r="I10" s="7">
        <v>43838</v>
      </c>
      <c r="J10" s="341">
        <f>G10</f>
        <v>61260326</v>
      </c>
      <c r="K10" s="7">
        <v>44925</v>
      </c>
      <c r="L10" s="341">
        <v>0</v>
      </c>
      <c r="M10" s="341">
        <f t="shared" si="0"/>
        <v>61260326</v>
      </c>
      <c r="N10" s="7"/>
      <c r="O10" s="5">
        <v>2</v>
      </c>
      <c r="P10" s="5">
        <v>368</v>
      </c>
      <c r="Q10" s="6">
        <v>43466</v>
      </c>
      <c r="R10" s="411"/>
      <c r="T10" s="62">
        <f t="shared" si="1"/>
        <v>61260326</v>
      </c>
    </row>
    <row r="11" spans="1:20" s="185" customFormat="1" ht="12">
      <c r="A11" s="5" t="s">
        <v>268</v>
      </c>
      <c r="B11" s="5" t="s">
        <v>77</v>
      </c>
      <c r="C11" s="5" t="s">
        <v>97</v>
      </c>
      <c r="D11" s="5" t="s">
        <v>272</v>
      </c>
      <c r="E11" s="5" t="s">
        <v>95</v>
      </c>
      <c r="F11" s="341">
        <v>30000000</v>
      </c>
      <c r="G11" s="341">
        <f t="shared" si="2"/>
        <v>30000000</v>
      </c>
      <c r="H11" s="7">
        <v>43831</v>
      </c>
      <c r="I11" s="7">
        <v>43838</v>
      </c>
      <c r="J11" s="341">
        <v>30000000</v>
      </c>
      <c r="K11" s="7">
        <v>44925</v>
      </c>
      <c r="L11" s="341">
        <v>0</v>
      </c>
      <c r="M11" s="341">
        <f t="shared" si="0"/>
        <v>30000000</v>
      </c>
      <c r="N11" s="7"/>
      <c r="O11" s="5">
        <v>2</v>
      </c>
      <c r="P11" s="5">
        <v>184</v>
      </c>
      <c r="Q11" s="6">
        <v>43466</v>
      </c>
      <c r="R11" s="411"/>
      <c r="T11" s="62">
        <f t="shared" si="1"/>
        <v>30000000</v>
      </c>
    </row>
    <row r="12" spans="1:20" ht="12">
      <c r="A12" s="13" t="s">
        <v>290</v>
      </c>
      <c r="B12" s="13" t="s">
        <v>316</v>
      </c>
      <c r="C12" s="13" t="s">
        <v>223</v>
      </c>
      <c r="D12" s="36" t="s">
        <v>94</v>
      </c>
      <c r="E12" s="13" t="s">
        <v>291</v>
      </c>
      <c r="F12" s="286">
        <v>38000000</v>
      </c>
      <c r="G12" s="286">
        <f>F12</f>
        <v>38000000</v>
      </c>
      <c r="H12" s="3">
        <v>43834</v>
      </c>
      <c r="I12" s="3">
        <v>43841</v>
      </c>
      <c r="J12" s="286">
        <v>540000</v>
      </c>
      <c r="K12" s="3">
        <v>44925</v>
      </c>
      <c r="L12" s="286">
        <v>0</v>
      </c>
      <c r="M12" s="286">
        <f t="shared" si="0"/>
        <v>540000</v>
      </c>
      <c r="N12" s="3"/>
      <c r="O12" s="13">
        <v>3</v>
      </c>
      <c r="P12" s="13">
        <v>240</v>
      </c>
      <c r="Q12" s="11">
        <v>43813</v>
      </c>
      <c r="R12" s="428"/>
      <c r="T12" s="408">
        <f t="shared" si="1"/>
        <v>540000</v>
      </c>
    </row>
    <row r="13" spans="1:20" ht="12">
      <c r="A13" s="13" t="s">
        <v>306</v>
      </c>
      <c r="B13" s="13" t="s">
        <v>316</v>
      </c>
      <c r="C13" s="13" t="s">
        <v>144</v>
      </c>
      <c r="D13" s="13" t="s">
        <v>307</v>
      </c>
      <c r="E13" s="13" t="s">
        <v>82</v>
      </c>
      <c r="F13" s="286">
        <v>12000000</v>
      </c>
      <c r="G13" s="342">
        <v>11115876.799999714</v>
      </c>
      <c r="H13" s="3">
        <v>43839</v>
      </c>
      <c r="I13" s="3">
        <v>43847</v>
      </c>
      <c r="J13" s="342">
        <v>185876.7999997139</v>
      </c>
      <c r="K13" s="3">
        <v>44925</v>
      </c>
      <c r="L13" s="286">
        <v>0</v>
      </c>
      <c r="M13" s="342">
        <f>J13-L13</f>
        <v>185876.7999997139</v>
      </c>
      <c r="N13" s="3"/>
      <c r="O13" s="13">
        <v>3</v>
      </c>
      <c r="P13" s="13">
        <v>64</v>
      </c>
      <c r="Q13" s="11">
        <v>43818</v>
      </c>
      <c r="R13" s="428"/>
      <c r="T13" s="499">
        <f t="shared" si="1"/>
        <v>185876.7999997139</v>
      </c>
    </row>
    <row r="14" spans="1:20">
      <c r="L14" s="191"/>
    </row>
    <row r="15" spans="1:20" ht="12">
      <c r="F15" s="192">
        <f>SUM(F6:F13)</f>
        <v>220260326</v>
      </c>
      <c r="G15" s="322">
        <f>SUM(G6:G13)</f>
        <v>219376202.79999971</v>
      </c>
      <c r="H15" s="132"/>
      <c r="I15" s="132"/>
      <c r="J15" s="322">
        <f>SUM(J6:J13)</f>
        <v>170986202.79999971</v>
      </c>
      <c r="K15" s="132"/>
      <c r="L15" s="192">
        <f>SUM(L6:L13)</f>
        <v>0</v>
      </c>
      <c r="M15" s="322">
        <f>SUM(M6:M13)</f>
        <v>170986202.79999971</v>
      </c>
      <c r="T15" s="322">
        <f>SUM(T6:T13)</f>
        <v>170986202.79999971</v>
      </c>
    </row>
    <row r="16" spans="1:20" ht="12" thickBot="1">
      <c r="L16" s="431"/>
    </row>
    <row r="17" spans="1:20" ht="13.2">
      <c r="A17" s="453"/>
      <c r="B17" s="158" t="s">
        <v>245</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455" t="s">
        <v>56</v>
      </c>
    </row>
    <row r="22" spans="1:20">
      <c r="A22" s="5"/>
      <c r="H22" s="198"/>
      <c r="L22" s="196"/>
    </row>
    <row r="23" spans="1:20" ht="12">
      <c r="A23" s="13">
        <v>5098</v>
      </c>
      <c r="B23" s="43" t="s">
        <v>77</v>
      </c>
      <c r="C23" s="36" t="s">
        <v>76</v>
      </c>
      <c r="D23" s="36" t="s">
        <v>233</v>
      </c>
      <c r="E23" s="147" t="s">
        <v>151</v>
      </c>
      <c r="F23" s="82">
        <v>128717758.63</v>
      </c>
      <c r="G23" s="82">
        <v>128717758.63</v>
      </c>
      <c r="H23" s="3">
        <v>43783</v>
      </c>
      <c r="I23" s="151">
        <v>43818</v>
      </c>
      <c r="J23" s="82">
        <v>87298849.329999998</v>
      </c>
      <c r="K23" s="151">
        <v>44925</v>
      </c>
      <c r="L23" s="45">
        <f>87298849.33</f>
        <v>87298849.329999998</v>
      </c>
      <c r="M23" s="82">
        <f>J23-L23</f>
        <v>0</v>
      </c>
      <c r="N23" s="151">
        <v>44211</v>
      </c>
      <c r="O23" s="43" t="s">
        <v>516</v>
      </c>
      <c r="T23" s="412">
        <v>87298849.329999998</v>
      </c>
    </row>
    <row r="24" spans="1:20" ht="12">
      <c r="A24" s="13"/>
      <c r="B24" s="13"/>
      <c r="C24" s="13"/>
      <c r="D24" s="13"/>
      <c r="E24" s="13"/>
      <c r="F24" s="286"/>
      <c r="G24" s="184"/>
      <c r="H24" s="184"/>
      <c r="I24" s="184"/>
      <c r="J24" s="184"/>
      <c r="K24" s="184"/>
      <c r="L24" s="356"/>
      <c r="M24" s="202"/>
      <c r="N24" s="151"/>
    </row>
    <row r="25" spans="1:20" ht="12">
      <c r="C25" s="454"/>
      <c r="D25" s="454"/>
      <c r="F25" s="184"/>
      <c r="G25" s="184"/>
      <c r="H25" s="184"/>
      <c r="I25" s="184"/>
      <c r="J25" s="322">
        <f>SUM(J23:J23)</f>
        <v>87298849.329999998</v>
      </c>
      <c r="K25" s="402"/>
      <c r="L25" s="322">
        <f>SUM(L23:L23)</f>
        <v>87298849.329999998</v>
      </c>
      <c r="M25" s="322">
        <f>SUM(M23:M23)</f>
        <v>0</v>
      </c>
      <c r="N25" s="151"/>
      <c r="O25" s="196"/>
      <c r="T25" s="322">
        <f>SUM(T23:T23)</f>
        <v>87298849.329999998</v>
      </c>
    </row>
    <row r="26" spans="1:20" ht="12.6" thickBot="1">
      <c r="C26" s="454"/>
      <c r="D26" s="454"/>
      <c r="F26" s="184"/>
      <c r="G26" s="416"/>
      <c r="H26" s="184"/>
      <c r="I26" s="184"/>
      <c r="J26" s="184"/>
      <c r="K26" s="184"/>
      <c r="L26" s="191"/>
      <c r="M26" s="196"/>
      <c r="N26" s="151"/>
    </row>
    <row r="27" spans="1:20" ht="12">
      <c r="A27" s="456" t="s">
        <v>94</v>
      </c>
      <c r="C27" s="454"/>
      <c r="D27" s="454"/>
      <c r="F27" s="184"/>
      <c r="G27" s="187"/>
      <c r="H27" s="151"/>
      <c r="I27" s="184"/>
      <c r="J27" s="184"/>
      <c r="K27" s="287"/>
      <c r="L27" s="356"/>
      <c r="N27" s="151"/>
    </row>
    <row r="28" spans="1:20" ht="12">
      <c r="A28" s="13">
        <v>5079</v>
      </c>
      <c r="B28" s="43" t="s">
        <v>77</v>
      </c>
      <c r="C28" s="36" t="s">
        <v>221</v>
      </c>
      <c r="D28" s="36" t="s">
        <v>94</v>
      </c>
      <c r="E28" s="147" t="s">
        <v>222</v>
      </c>
      <c r="F28" s="9">
        <v>52000000</v>
      </c>
      <c r="G28" s="9">
        <v>52000000</v>
      </c>
      <c r="H28" s="3">
        <v>43699</v>
      </c>
      <c r="I28" s="151">
        <v>43734</v>
      </c>
      <c r="J28" s="9">
        <v>52000000</v>
      </c>
      <c r="K28" s="151">
        <v>44925</v>
      </c>
      <c r="L28" s="286">
        <v>0</v>
      </c>
      <c r="M28" s="9">
        <f t="shared" ref="M28:M30" si="3">J28-L28</f>
        <v>52000000</v>
      </c>
      <c r="N28" s="151">
        <v>44476</v>
      </c>
      <c r="O28" s="208"/>
      <c r="T28" s="408">
        <f>M28</f>
        <v>52000000</v>
      </c>
    </row>
    <row r="29" spans="1:20" ht="12">
      <c r="A29" s="13">
        <v>5080</v>
      </c>
      <c r="B29" s="43" t="s">
        <v>77</v>
      </c>
      <c r="C29" s="36" t="s">
        <v>273</v>
      </c>
      <c r="D29" s="36" t="s">
        <v>94</v>
      </c>
      <c r="E29" s="147" t="s">
        <v>213</v>
      </c>
      <c r="F29" s="9">
        <v>35000000</v>
      </c>
      <c r="G29" s="9">
        <v>35000000</v>
      </c>
      <c r="H29" s="3">
        <v>43699</v>
      </c>
      <c r="I29" s="151">
        <v>43734</v>
      </c>
      <c r="J29" s="9">
        <v>35000000</v>
      </c>
      <c r="K29" s="151">
        <v>44925</v>
      </c>
      <c r="L29" s="286">
        <v>0</v>
      </c>
      <c r="M29" s="9">
        <f t="shared" si="3"/>
        <v>35000000</v>
      </c>
      <c r="N29" s="151">
        <v>43845</v>
      </c>
      <c r="O29" s="198"/>
      <c r="T29" s="408">
        <f>M29</f>
        <v>35000000</v>
      </c>
    </row>
    <row r="30" spans="1:20" ht="12">
      <c r="A30" s="13">
        <v>5081</v>
      </c>
      <c r="B30" s="43" t="s">
        <v>77</v>
      </c>
      <c r="C30" s="36" t="s">
        <v>157</v>
      </c>
      <c r="D30" s="36" t="s">
        <v>94</v>
      </c>
      <c r="E30" s="147" t="s">
        <v>258</v>
      </c>
      <c r="F30" s="9">
        <v>15000000</v>
      </c>
      <c r="G30" s="9">
        <v>15000000</v>
      </c>
      <c r="H30" s="3">
        <v>43699</v>
      </c>
      <c r="I30" s="151">
        <v>43734</v>
      </c>
      <c r="J30" s="9">
        <v>15000000</v>
      </c>
      <c r="K30" s="151">
        <v>44925</v>
      </c>
      <c r="L30" s="286">
        <v>0</v>
      </c>
      <c r="M30" s="9">
        <f t="shared" si="3"/>
        <v>15000000</v>
      </c>
      <c r="N30" s="151">
        <v>44603</v>
      </c>
      <c r="O30" s="489"/>
      <c r="T30" s="408">
        <v>15000000</v>
      </c>
    </row>
    <row r="31" spans="1:20" ht="12">
      <c r="A31" s="13">
        <v>5091</v>
      </c>
      <c r="B31" s="43" t="s">
        <v>77</v>
      </c>
      <c r="C31" s="36" t="s">
        <v>223</v>
      </c>
      <c r="D31" s="36" t="s">
        <v>94</v>
      </c>
      <c r="E31" s="147" t="s">
        <v>80</v>
      </c>
      <c r="F31" s="9">
        <v>50000000</v>
      </c>
      <c r="G31" s="9">
        <v>50000000</v>
      </c>
      <c r="H31" s="3">
        <v>43754</v>
      </c>
      <c r="I31" s="151">
        <v>43789</v>
      </c>
      <c r="J31" s="9">
        <v>8500000</v>
      </c>
      <c r="K31" s="151">
        <v>44925</v>
      </c>
      <c r="L31" s="286">
        <v>0</v>
      </c>
      <c r="M31" s="9">
        <f t="shared" ref="M31:M33" si="4">J31-L31</f>
        <v>8500000</v>
      </c>
      <c r="N31" s="151">
        <v>44315</v>
      </c>
      <c r="O31" s="208"/>
      <c r="T31" s="408">
        <f t="shared" ref="T31:T33" si="5">M31</f>
        <v>8500000</v>
      </c>
    </row>
    <row r="32" spans="1:20" ht="12">
      <c r="A32" s="13">
        <v>5093</v>
      </c>
      <c r="B32" s="43" t="s">
        <v>77</v>
      </c>
      <c r="C32" s="36" t="s">
        <v>256</v>
      </c>
      <c r="D32" s="36" t="s">
        <v>94</v>
      </c>
      <c r="E32" s="147" t="s">
        <v>257</v>
      </c>
      <c r="F32" s="9">
        <v>45000000</v>
      </c>
      <c r="G32" s="9">
        <v>45000000</v>
      </c>
      <c r="H32" s="3">
        <v>43755</v>
      </c>
      <c r="I32" s="151">
        <v>43790</v>
      </c>
      <c r="J32" s="9">
        <v>45000000</v>
      </c>
      <c r="K32" s="151">
        <v>44925</v>
      </c>
      <c r="L32" s="286">
        <v>0</v>
      </c>
      <c r="M32" s="9">
        <f t="shared" si="4"/>
        <v>45000000</v>
      </c>
      <c r="N32" s="151">
        <v>43981</v>
      </c>
      <c r="O32" s="208"/>
      <c r="T32" s="408">
        <f t="shared" si="5"/>
        <v>45000000</v>
      </c>
    </row>
    <row r="33" spans="1:20" ht="12">
      <c r="A33" s="13">
        <v>5095</v>
      </c>
      <c r="B33" s="43" t="s">
        <v>77</v>
      </c>
      <c r="C33" s="36" t="s">
        <v>167</v>
      </c>
      <c r="D33" s="36" t="s">
        <v>94</v>
      </c>
      <c r="E33" s="147" t="s">
        <v>168</v>
      </c>
      <c r="F33" s="9">
        <v>15000000</v>
      </c>
      <c r="G33" s="9">
        <v>15000000</v>
      </c>
      <c r="H33" s="3">
        <v>43755</v>
      </c>
      <c r="I33" s="151">
        <v>43790</v>
      </c>
      <c r="J33" s="9">
        <v>4000000</v>
      </c>
      <c r="K33" s="151">
        <v>44925</v>
      </c>
      <c r="L33" s="346">
        <v>4000000</v>
      </c>
      <c r="M33" s="496">
        <f t="shared" si="4"/>
        <v>0</v>
      </c>
      <c r="N33" s="497">
        <v>44616</v>
      </c>
      <c r="O33" s="498" t="s">
        <v>585</v>
      </c>
      <c r="T33" s="408">
        <f t="shared" si="5"/>
        <v>0</v>
      </c>
    </row>
    <row r="34" spans="1:20" s="185" customFormat="1" ht="12">
      <c r="A34" s="13"/>
      <c r="B34" s="13"/>
      <c r="C34" s="13"/>
      <c r="D34" s="36"/>
      <c r="E34" s="36"/>
      <c r="F34" s="286"/>
      <c r="G34" s="123"/>
      <c r="H34" s="7"/>
      <c r="I34" s="183"/>
      <c r="J34" s="123"/>
      <c r="K34" s="183"/>
      <c r="L34" s="32"/>
      <c r="M34" s="123"/>
      <c r="N34" s="183"/>
      <c r="T34" s="62"/>
    </row>
    <row r="35" spans="1:20" ht="12">
      <c r="A35" s="5"/>
      <c r="B35" s="5"/>
      <c r="C35" s="5"/>
      <c r="D35" s="26"/>
      <c r="E35" s="26"/>
      <c r="F35" s="341"/>
      <c r="G35" s="71"/>
      <c r="H35" s="3"/>
      <c r="I35" s="3"/>
      <c r="J35" s="77">
        <f>SUM(J28:J33)</f>
        <v>159500000</v>
      </c>
      <c r="K35" s="7"/>
      <c r="L35" s="77">
        <f>SUM(L28:L33)</f>
        <v>4000000</v>
      </c>
      <c r="M35" s="77">
        <f>SUM(M28:M33)</f>
        <v>155500000</v>
      </c>
      <c r="N35" s="151"/>
      <c r="T35" s="77">
        <f>SUM(T28:T33)</f>
        <v>155500000</v>
      </c>
    </row>
    <row r="36" spans="1:20" ht="12">
      <c r="I36" s="196"/>
      <c r="N36" s="151"/>
    </row>
    <row r="37" spans="1:20">
      <c r="K37" s="198"/>
    </row>
    <row r="38" spans="1:20" ht="12.6" thickBot="1">
      <c r="J38" s="339">
        <f>J15+J25+J35</f>
        <v>417785052.1299997</v>
      </c>
      <c r="M38" s="339">
        <f>M15+M25+M35</f>
        <v>326486202.79999971</v>
      </c>
      <c r="O38" s="263"/>
      <c r="P38" s="263"/>
      <c r="Q38" s="263"/>
      <c r="R38" s="263"/>
      <c r="T38" s="337">
        <f>T15+T25+T35</f>
        <v>413785052.1299997</v>
      </c>
    </row>
    <row r="39" spans="1:20" ht="12" thickTop="1">
      <c r="M39" s="196"/>
      <c r="O39" s="191"/>
    </row>
    <row r="40" spans="1:20">
      <c r="J40" s="196"/>
      <c r="O40" s="196"/>
    </row>
    <row r="41" spans="1:20">
      <c r="H41" s="198"/>
      <c r="J41" s="196"/>
      <c r="L41" s="191"/>
    </row>
    <row r="42" spans="1:20">
      <c r="H42" s="198"/>
      <c r="M42" s="196"/>
    </row>
    <row r="43" spans="1:20">
      <c r="L43" s="191"/>
    </row>
    <row r="44" spans="1:20">
      <c r="L44" s="426"/>
    </row>
    <row r="45" spans="1:20">
      <c r="L45" s="388"/>
    </row>
    <row r="46" spans="1:20">
      <c r="L46" s="356"/>
    </row>
    <row r="47" spans="1:20">
      <c r="L47" s="196"/>
    </row>
  </sheetData>
  <phoneticPr fontId="3" type="noConversion"/>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8BBA7-3920-43A8-A750-9D8F66C498AB}">
  <sheetPr codeName="Sheet8"/>
  <dimension ref="A1:T78"/>
  <sheetViews>
    <sheetView topLeftCell="A28" workbookViewId="0">
      <selection activeCell="M70" sqref="M70"/>
    </sheetView>
  </sheetViews>
  <sheetFormatPr defaultRowHeight="11.4"/>
  <cols>
    <col min="1" max="1" width="11" customWidth="1"/>
    <col min="2" max="2" width="10.375" customWidth="1"/>
    <col min="3" max="3" width="43.125" bestFit="1" customWidth="1"/>
    <col min="4" max="4" width="37.125" bestFit="1" customWidth="1"/>
    <col min="5" max="5" width="13.25" customWidth="1"/>
    <col min="6" max="7" width="15.75" bestFit="1" customWidth="1"/>
    <col min="8" max="8" width="15.125" customWidth="1"/>
    <col min="9" max="9" width="11.875" bestFit="1" customWidth="1"/>
    <col min="10" max="10" width="14.75" bestFit="1" customWidth="1"/>
    <col min="11" max="11" width="11.875" bestFit="1" customWidth="1"/>
    <col min="12" max="12" width="17.625" bestFit="1" customWidth="1"/>
    <col min="13" max="13" width="21.625" bestFit="1" customWidth="1"/>
    <col min="14" max="14" width="11" bestFit="1" customWidth="1"/>
    <col min="15" max="15" width="14.375" customWidth="1"/>
    <col min="16" max="16" width="9.125" customWidth="1"/>
    <col min="17" max="17" width="14.125" bestFit="1" customWidth="1"/>
    <col min="18" max="18" width="13.125" bestFit="1" customWidth="1"/>
    <col min="20" max="20" width="26.75" bestFit="1" customWidth="1"/>
  </cols>
  <sheetData>
    <row r="1" spans="1:20" ht="13.2">
      <c r="A1" s="158"/>
      <c r="B1" s="158" t="s">
        <v>292</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302</v>
      </c>
    </row>
    <row r="4" spans="1:20" ht="13.8" thickBot="1">
      <c r="A4" s="153" t="s">
        <v>17</v>
      </c>
      <c r="B4" s="154"/>
      <c r="C4" s="155"/>
      <c r="D4" s="156"/>
      <c r="E4" s="156"/>
      <c r="F4" s="177"/>
      <c r="G4" s="177"/>
      <c r="H4" s="178"/>
      <c r="I4" s="178"/>
      <c r="J4" s="179"/>
      <c r="K4" s="178"/>
      <c r="L4" s="177"/>
      <c r="M4" s="177"/>
      <c r="N4" s="362" t="s">
        <v>9</v>
      </c>
      <c r="O4" s="362"/>
      <c r="P4" s="362"/>
      <c r="Q4" s="365" t="s">
        <v>9</v>
      </c>
      <c r="T4" s="335" t="s">
        <v>418</v>
      </c>
    </row>
    <row r="5" spans="1:20">
      <c r="A5" s="31" t="s">
        <v>243</v>
      </c>
      <c r="D5" s="454"/>
    </row>
    <row r="6" spans="1:20" s="185" customFormat="1" ht="12">
      <c r="A6" s="31" t="s">
        <v>363</v>
      </c>
      <c r="B6" s="4" t="s">
        <v>77</v>
      </c>
      <c r="C6" s="5" t="s">
        <v>76</v>
      </c>
      <c r="D6" s="5" t="s">
        <v>364</v>
      </c>
      <c r="E6" s="4" t="s">
        <v>78</v>
      </c>
      <c r="F6" s="123">
        <v>20000000</v>
      </c>
      <c r="G6" s="123">
        <v>20000000</v>
      </c>
      <c r="H6" s="7">
        <v>44201</v>
      </c>
      <c r="I6" s="7">
        <v>44208</v>
      </c>
      <c r="J6" s="123">
        <v>20000000</v>
      </c>
      <c r="K6" s="7">
        <v>45290</v>
      </c>
      <c r="L6" s="123">
        <v>0</v>
      </c>
      <c r="M6" s="123">
        <f>J6-L6</f>
        <v>20000000</v>
      </c>
      <c r="N6" s="7">
        <v>44202</v>
      </c>
      <c r="O6" s="5"/>
      <c r="P6" s="5"/>
      <c r="Q6" s="6"/>
      <c r="T6" s="123">
        <f>M6</f>
        <v>20000000</v>
      </c>
    </row>
    <row r="7" spans="1:20">
      <c r="A7" s="31"/>
      <c r="C7" s="454"/>
      <c r="D7" s="454"/>
      <c r="H7" s="198"/>
      <c r="K7" s="198"/>
    </row>
    <row r="8" spans="1:20" ht="12.75" customHeight="1">
      <c r="A8" s="31" t="s">
        <v>148</v>
      </c>
      <c r="C8" s="454"/>
      <c r="D8" s="454"/>
      <c r="H8" s="198"/>
      <c r="K8" s="198"/>
    </row>
    <row r="9" spans="1:20" s="4" customFormat="1">
      <c r="A9" s="31" t="s">
        <v>314</v>
      </c>
      <c r="B9" s="4" t="s">
        <v>77</v>
      </c>
      <c r="C9" s="5" t="s">
        <v>141</v>
      </c>
      <c r="D9" s="5" t="s">
        <v>253</v>
      </c>
      <c r="E9" s="4" t="s">
        <v>254</v>
      </c>
      <c r="F9" s="123">
        <v>64819515</v>
      </c>
      <c r="G9" s="123">
        <f t="shared" ref="G9:G18" si="0">F9</f>
        <v>64819515</v>
      </c>
      <c r="H9" s="7">
        <v>44209</v>
      </c>
      <c r="I9" s="7">
        <v>44210</v>
      </c>
      <c r="J9" s="123">
        <f>G9</f>
        <v>64819515</v>
      </c>
      <c r="K9" s="7">
        <v>45290</v>
      </c>
      <c r="L9" s="123">
        <v>0</v>
      </c>
      <c r="M9" s="123">
        <f t="shared" ref="M9:M10" si="1">J9-L9</f>
        <v>64819515</v>
      </c>
      <c r="N9" s="7">
        <v>44211</v>
      </c>
      <c r="T9" s="123">
        <f>M9</f>
        <v>64819515</v>
      </c>
    </row>
    <row r="10" spans="1:20" s="4" customFormat="1">
      <c r="A10" s="31" t="s">
        <v>318</v>
      </c>
      <c r="B10" s="4" t="s">
        <v>77</v>
      </c>
      <c r="C10" s="5" t="s">
        <v>311</v>
      </c>
      <c r="D10" s="5" t="s">
        <v>319</v>
      </c>
      <c r="E10" s="4" t="s">
        <v>81</v>
      </c>
      <c r="F10" s="123">
        <v>40000000</v>
      </c>
      <c r="G10" s="123">
        <f t="shared" si="0"/>
        <v>40000000</v>
      </c>
      <c r="H10" s="7">
        <v>44210</v>
      </c>
      <c r="I10" s="7">
        <v>44210</v>
      </c>
      <c r="J10" s="123">
        <f>G10</f>
        <v>40000000</v>
      </c>
      <c r="K10" s="7">
        <v>45290</v>
      </c>
      <c r="L10" s="123">
        <v>0</v>
      </c>
      <c r="M10" s="123">
        <f t="shared" si="1"/>
        <v>40000000</v>
      </c>
      <c r="N10" s="7">
        <v>44211</v>
      </c>
      <c r="T10" s="123">
        <f>M10</f>
        <v>40000000</v>
      </c>
    </row>
    <row r="11" spans="1:20" s="4" customFormat="1">
      <c r="A11" s="31" t="s">
        <v>329</v>
      </c>
      <c r="B11" s="4" t="s">
        <v>77</v>
      </c>
      <c r="C11" s="5" t="s">
        <v>98</v>
      </c>
      <c r="D11" s="5" t="s">
        <v>330</v>
      </c>
      <c r="E11" s="4" t="s">
        <v>79</v>
      </c>
      <c r="F11" s="123">
        <v>30000000</v>
      </c>
      <c r="G11" s="123">
        <f t="shared" si="0"/>
        <v>30000000</v>
      </c>
      <c r="H11" s="7">
        <v>44208</v>
      </c>
      <c r="I11" s="7">
        <v>44210</v>
      </c>
      <c r="J11" s="123">
        <f>G11</f>
        <v>30000000</v>
      </c>
      <c r="K11" s="7">
        <v>45290</v>
      </c>
      <c r="L11" s="123">
        <v>0</v>
      </c>
      <c r="M11" s="123">
        <f t="shared" ref="M11:M14" si="2">J11-L11</f>
        <v>30000000</v>
      </c>
      <c r="N11" s="7">
        <v>44211</v>
      </c>
      <c r="T11" s="123">
        <f t="shared" ref="T11:T20" si="3">M11</f>
        <v>30000000</v>
      </c>
    </row>
    <row r="12" spans="1:20" s="4" customFormat="1">
      <c r="A12" s="31" t="s">
        <v>335</v>
      </c>
      <c r="B12" s="4" t="s">
        <v>77</v>
      </c>
      <c r="C12" s="5" t="s">
        <v>98</v>
      </c>
      <c r="D12" s="5" t="s">
        <v>336</v>
      </c>
      <c r="E12" s="4" t="s">
        <v>79</v>
      </c>
      <c r="F12" s="123">
        <v>39050000</v>
      </c>
      <c r="G12" s="123">
        <f t="shared" si="0"/>
        <v>39050000</v>
      </c>
      <c r="H12" s="7">
        <v>44208</v>
      </c>
      <c r="I12" s="7">
        <v>44210</v>
      </c>
      <c r="J12" s="123">
        <f>G12</f>
        <v>39050000</v>
      </c>
      <c r="K12" s="7">
        <v>45290</v>
      </c>
      <c r="L12" s="123">
        <v>0</v>
      </c>
      <c r="M12" s="123">
        <f t="shared" si="2"/>
        <v>39050000</v>
      </c>
      <c r="N12" s="7">
        <v>44211</v>
      </c>
      <c r="T12" s="123">
        <f t="shared" si="3"/>
        <v>39050000</v>
      </c>
    </row>
    <row r="13" spans="1:20" s="1" customFormat="1" ht="12">
      <c r="A13" s="136" t="s">
        <v>337</v>
      </c>
      <c r="B13" s="1" t="s">
        <v>316</v>
      </c>
      <c r="C13" s="13" t="s">
        <v>311</v>
      </c>
      <c r="D13" s="13" t="s">
        <v>338</v>
      </c>
      <c r="E13" s="1" t="s">
        <v>81</v>
      </c>
      <c r="F13" s="9">
        <v>60000000</v>
      </c>
      <c r="G13" s="9">
        <f t="shared" si="0"/>
        <v>60000000</v>
      </c>
      <c r="H13" s="3">
        <v>44210</v>
      </c>
      <c r="I13" s="3">
        <v>44210</v>
      </c>
      <c r="J13" s="9">
        <f>G13</f>
        <v>60000000</v>
      </c>
      <c r="K13" s="3">
        <v>45290</v>
      </c>
      <c r="L13" s="9">
        <v>54900000</v>
      </c>
      <c r="M13" s="9">
        <f t="shared" si="2"/>
        <v>5100000</v>
      </c>
      <c r="N13" s="3">
        <v>44617</v>
      </c>
      <c r="T13" s="9">
        <f t="shared" si="3"/>
        <v>5100000</v>
      </c>
    </row>
    <row r="14" spans="1:20" s="1" customFormat="1" ht="12">
      <c r="A14" s="136" t="s">
        <v>339</v>
      </c>
      <c r="B14" s="1" t="s">
        <v>316</v>
      </c>
      <c r="C14" s="13" t="s">
        <v>157</v>
      </c>
      <c r="D14" s="36" t="s">
        <v>94</v>
      </c>
      <c r="E14" s="1" t="s">
        <v>258</v>
      </c>
      <c r="F14" s="9">
        <v>15000000</v>
      </c>
      <c r="G14" s="9">
        <f t="shared" si="0"/>
        <v>15000000</v>
      </c>
      <c r="H14" s="3">
        <v>44208</v>
      </c>
      <c r="I14" s="3">
        <v>44210</v>
      </c>
      <c r="J14" s="9">
        <v>1900000</v>
      </c>
      <c r="K14" s="3">
        <v>45290</v>
      </c>
      <c r="L14" s="496">
        <v>1900000</v>
      </c>
      <c r="M14" s="496">
        <f t="shared" si="2"/>
        <v>0</v>
      </c>
      <c r="N14" s="522">
        <v>44597</v>
      </c>
      <c r="O14" s="285" t="s">
        <v>554</v>
      </c>
      <c r="T14" s="123">
        <f t="shared" si="3"/>
        <v>0</v>
      </c>
    </row>
    <row r="15" spans="1:20" s="1" customFormat="1" ht="12">
      <c r="A15" s="136"/>
      <c r="C15" s="13"/>
      <c r="D15" s="13"/>
      <c r="F15" s="9"/>
      <c r="G15" s="9"/>
      <c r="H15" s="3"/>
      <c r="I15" s="3"/>
      <c r="J15" s="82"/>
      <c r="L15" s="9"/>
      <c r="M15" s="9"/>
      <c r="N15" s="7"/>
      <c r="T15" s="123"/>
    </row>
    <row r="16" spans="1:20" ht="12">
      <c r="A16" s="31" t="s">
        <v>91</v>
      </c>
      <c r="C16" s="454"/>
      <c r="D16" s="13"/>
      <c r="H16" s="198"/>
      <c r="I16" s="3"/>
      <c r="J16" s="447"/>
      <c r="N16" s="7"/>
      <c r="T16" s="123"/>
    </row>
    <row r="17" spans="1:20" s="185" customFormat="1" ht="12">
      <c r="A17" s="31" t="s">
        <v>309</v>
      </c>
      <c r="B17" s="4" t="s">
        <v>77</v>
      </c>
      <c r="C17" s="5" t="s">
        <v>152</v>
      </c>
      <c r="D17" s="5" t="s">
        <v>310</v>
      </c>
      <c r="E17" s="4" t="s">
        <v>81</v>
      </c>
      <c r="F17" s="123">
        <v>45000000</v>
      </c>
      <c r="G17" s="123">
        <f t="shared" si="0"/>
        <v>45000000</v>
      </c>
      <c r="H17" s="7">
        <v>44210</v>
      </c>
      <c r="I17" s="7">
        <v>44210</v>
      </c>
      <c r="J17" s="123">
        <f>G17</f>
        <v>45000000</v>
      </c>
      <c r="K17" s="7">
        <v>45290</v>
      </c>
      <c r="L17" s="123">
        <v>0</v>
      </c>
      <c r="M17" s="123">
        <f>J17-L17</f>
        <v>45000000</v>
      </c>
      <c r="N17" s="7">
        <v>44211</v>
      </c>
      <c r="T17" s="123">
        <f t="shared" si="3"/>
        <v>45000000</v>
      </c>
    </row>
    <row r="18" spans="1:20" s="185" customFormat="1" ht="12">
      <c r="A18" s="31" t="s">
        <v>312</v>
      </c>
      <c r="B18" s="4" t="s">
        <v>77</v>
      </c>
      <c r="C18" s="5" t="s">
        <v>152</v>
      </c>
      <c r="D18" s="5" t="s">
        <v>313</v>
      </c>
      <c r="E18" s="4" t="s">
        <v>81</v>
      </c>
      <c r="F18" s="123">
        <v>45000000</v>
      </c>
      <c r="G18" s="123">
        <f t="shared" si="0"/>
        <v>45000000</v>
      </c>
      <c r="H18" s="7">
        <v>44210</v>
      </c>
      <c r="I18" s="7">
        <v>44210</v>
      </c>
      <c r="J18" s="123">
        <v>45000000</v>
      </c>
      <c r="K18" s="7">
        <v>45290</v>
      </c>
      <c r="L18" s="123">
        <v>0</v>
      </c>
      <c r="M18" s="123">
        <f t="shared" ref="M18:M20" si="4">J18-L18</f>
        <v>45000000</v>
      </c>
      <c r="N18" s="7">
        <v>44211</v>
      </c>
      <c r="T18" s="123">
        <f t="shared" si="3"/>
        <v>45000000</v>
      </c>
    </row>
    <row r="19" spans="1:20" s="185" customFormat="1" ht="12">
      <c r="A19" s="31" t="s">
        <v>331</v>
      </c>
      <c r="B19" s="4" t="s">
        <v>77</v>
      </c>
      <c r="C19" s="5" t="s">
        <v>152</v>
      </c>
      <c r="D19" s="5" t="s">
        <v>332</v>
      </c>
      <c r="E19" s="4" t="s">
        <v>81</v>
      </c>
      <c r="F19" s="143">
        <v>9867722.8700000048</v>
      </c>
      <c r="G19" s="143">
        <f>F19</f>
        <v>9867722.8700000048</v>
      </c>
      <c r="H19" s="7">
        <v>44222</v>
      </c>
      <c r="I19" s="7">
        <v>44222</v>
      </c>
      <c r="J19" s="123">
        <f>G19</f>
        <v>9867722.8700000048</v>
      </c>
      <c r="K19" s="7">
        <v>45290</v>
      </c>
      <c r="L19" s="123">
        <v>0</v>
      </c>
      <c r="M19" s="123">
        <f t="shared" si="4"/>
        <v>9867722.8700000048</v>
      </c>
      <c r="N19" s="7">
        <v>44223</v>
      </c>
      <c r="T19" s="123">
        <f t="shared" si="3"/>
        <v>9867722.8700000048</v>
      </c>
    </row>
    <row r="20" spans="1:20" s="185" customFormat="1" ht="12">
      <c r="A20" s="5" t="s">
        <v>333</v>
      </c>
      <c r="B20" s="4" t="s">
        <v>77</v>
      </c>
      <c r="C20" s="5" t="s">
        <v>152</v>
      </c>
      <c r="D20" s="5" t="s">
        <v>334</v>
      </c>
      <c r="E20" s="4" t="s">
        <v>81</v>
      </c>
      <c r="F20" s="123">
        <v>50000000</v>
      </c>
      <c r="G20" s="123">
        <v>50000000</v>
      </c>
      <c r="H20" s="7">
        <v>44222</v>
      </c>
      <c r="I20" s="7">
        <v>44222</v>
      </c>
      <c r="J20" s="123">
        <f>G20</f>
        <v>50000000</v>
      </c>
      <c r="K20" s="7">
        <v>45290</v>
      </c>
      <c r="L20" s="123">
        <v>0</v>
      </c>
      <c r="M20" s="123">
        <f t="shared" si="4"/>
        <v>50000000</v>
      </c>
      <c r="N20" s="7">
        <v>44223</v>
      </c>
      <c r="T20" s="123">
        <f t="shared" si="3"/>
        <v>50000000</v>
      </c>
    </row>
    <row r="21" spans="1:20" ht="12">
      <c r="A21" s="136"/>
      <c r="B21" s="1"/>
      <c r="C21" s="1"/>
      <c r="D21" s="1"/>
      <c r="E21" s="1"/>
      <c r="F21" s="9"/>
      <c r="H21" s="198"/>
      <c r="K21" s="198"/>
    </row>
    <row r="22" spans="1:20" ht="12">
      <c r="F22" s="192">
        <f>SUM(F6:F21)</f>
        <v>418737237.87</v>
      </c>
      <c r="G22" s="192">
        <f>SUM(G6:G21)</f>
        <v>418737237.87</v>
      </c>
      <c r="H22" s="132"/>
      <c r="I22" s="151"/>
      <c r="J22" s="192">
        <f>SUM(J6:J21)</f>
        <v>405637237.87</v>
      </c>
      <c r="K22" s="132"/>
      <c r="L22" s="192">
        <f>SUM(L6:L21)</f>
        <v>56800000</v>
      </c>
      <c r="M22" s="192">
        <f>SUM(M6:M21)</f>
        <v>348837237.87</v>
      </c>
      <c r="T22" s="322">
        <f>SUM(T6:T20)</f>
        <v>348837237.87</v>
      </c>
    </row>
    <row r="23" spans="1:20">
      <c r="H23" s="198"/>
      <c r="I23" s="198"/>
    </row>
    <row r="24" spans="1:20" ht="12" customHeight="1">
      <c r="F24" s="321"/>
    </row>
    <row r="25" spans="1:20" ht="12" thickBot="1"/>
    <row r="26" spans="1:20" ht="12" customHeight="1">
      <c r="A26" s="158"/>
      <c r="B26" s="158" t="s">
        <v>293</v>
      </c>
      <c r="C26" s="130"/>
      <c r="D26" s="130"/>
      <c r="E26" s="130"/>
      <c r="F26" s="180"/>
      <c r="G26" s="180"/>
      <c r="H26" s="180"/>
      <c r="I26" s="180"/>
      <c r="J26" s="180"/>
      <c r="K26" s="180"/>
      <c r="L26" s="180"/>
      <c r="M26" s="180"/>
      <c r="N26" s="279"/>
    </row>
    <row r="27" spans="1:20" ht="12.75" customHeight="1">
      <c r="A27" s="152" t="s">
        <v>32</v>
      </c>
      <c r="B27" s="271" t="s">
        <v>37</v>
      </c>
      <c r="C27" s="272" t="s">
        <v>31</v>
      </c>
      <c r="D27" s="280" t="s">
        <v>49</v>
      </c>
      <c r="E27" s="280" t="s">
        <v>45</v>
      </c>
      <c r="F27" s="175" t="s">
        <v>84</v>
      </c>
      <c r="G27" s="175" t="s">
        <v>54</v>
      </c>
      <c r="H27" s="274"/>
      <c r="I27" s="274" t="s">
        <v>34</v>
      </c>
      <c r="J27" s="176" t="s">
        <v>87</v>
      </c>
      <c r="K27" s="274"/>
      <c r="L27" s="175" t="s">
        <v>92</v>
      </c>
      <c r="M27" s="275" t="s">
        <v>89</v>
      </c>
      <c r="N27" s="276" t="s">
        <v>22</v>
      </c>
    </row>
    <row r="28" spans="1:20" ht="13.2">
      <c r="A28" s="152" t="s">
        <v>48</v>
      </c>
      <c r="B28" s="277"/>
      <c r="C28" s="272"/>
      <c r="D28" s="280"/>
      <c r="E28" s="280"/>
      <c r="F28" s="175" t="s">
        <v>55</v>
      </c>
      <c r="G28" s="175" t="s">
        <v>55</v>
      </c>
      <c r="H28" s="274" t="s">
        <v>9</v>
      </c>
      <c r="I28" s="274" t="s">
        <v>18</v>
      </c>
      <c r="J28" s="176" t="s">
        <v>55</v>
      </c>
      <c r="K28" s="274" t="s">
        <v>18</v>
      </c>
      <c r="L28" s="175" t="s">
        <v>55</v>
      </c>
      <c r="M28" s="275" t="s">
        <v>90</v>
      </c>
      <c r="N28" s="276" t="s">
        <v>5</v>
      </c>
    </row>
    <row r="29" spans="1:20" ht="13.8" thickBot="1">
      <c r="A29" s="153" t="s">
        <v>17</v>
      </c>
      <c r="B29" s="154"/>
      <c r="C29" s="155"/>
      <c r="D29" s="157"/>
      <c r="E29" s="157"/>
      <c r="F29" s="177"/>
      <c r="G29" s="177"/>
      <c r="H29" s="178"/>
      <c r="I29" s="178"/>
      <c r="J29" s="181"/>
      <c r="K29" s="178"/>
      <c r="L29" s="177"/>
      <c r="M29" s="182" t="s">
        <v>93</v>
      </c>
      <c r="N29" s="278" t="s">
        <v>9</v>
      </c>
    </row>
    <row r="30" spans="1:20">
      <c r="A30" s="161" t="s">
        <v>56</v>
      </c>
      <c r="L30" s="196"/>
    </row>
    <row r="31" spans="1:20" ht="12">
      <c r="A31" s="13">
        <v>5213</v>
      </c>
      <c r="B31" s="13" t="s">
        <v>77</v>
      </c>
      <c r="C31" s="13" t="s">
        <v>320</v>
      </c>
      <c r="D31" s="36" t="s">
        <v>317</v>
      </c>
      <c r="E31" s="36" t="s">
        <v>82</v>
      </c>
      <c r="F31" s="409">
        <v>28000000</v>
      </c>
      <c r="G31" s="286">
        <f t="shared" ref="G31:G45" si="5">F31</f>
        <v>28000000</v>
      </c>
      <c r="H31" s="11">
        <v>44048</v>
      </c>
      <c r="I31" s="11">
        <f t="shared" ref="I31:I45" si="6">H31+35</f>
        <v>44083</v>
      </c>
      <c r="J31" s="286">
        <v>1897831.8000000007</v>
      </c>
      <c r="K31" s="11">
        <v>45290</v>
      </c>
      <c r="L31" s="342">
        <v>0</v>
      </c>
      <c r="M31" s="342">
        <f t="shared" ref="M31:M45" si="7">J31-L31</f>
        <v>1897831.8000000007</v>
      </c>
      <c r="N31" s="151">
        <v>44299</v>
      </c>
      <c r="O31" s="1"/>
      <c r="T31" s="286">
        <f>M31</f>
        <v>1897831.8000000007</v>
      </c>
    </row>
    <row r="32" spans="1:20" ht="12">
      <c r="A32" s="13">
        <v>5214</v>
      </c>
      <c r="B32" s="13" t="s">
        <v>77</v>
      </c>
      <c r="C32" s="36" t="s">
        <v>284</v>
      </c>
      <c r="D32" s="36" t="s">
        <v>276</v>
      </c>
      <c r="E32" s="36" t="s">
        <v>232</v>
      </c>
      <c r="F32" s="413">
        <v>40000000</v>
      </c>
      <c r="G32" s="413">
        <f t="shared" si="5"/>
        <v>40000000</v>
      </c>
      <c r="H32" s="11">
        <v>44048</v>
      </c>
      <c r="I32" s="11">
        <f t="shared" si="6"/>
        <v>44083</v>
      </c>
      <c r="J32" s="413">
        <v>40000000</v>
      </c>
      <c r="K32" s="11">
        <v>45290</v>
      </c>
      <c r="L32" s="488">
        <v>2731065.67</v>
      </c>
      <c r="M32" s="488">
        <f t="shared" si="7"/>
        <v>37268934.329999998</v>
      </c>
      <c r="N32" s="486">
        <v>44512</v>
      </c>
      <c r="O32" s="487" t="s">
        <v>517</v>
      </c>
      <c r="T32" s="286">
        <f>M32+L32</f>
        <v>40000000</v>
      </c>
    </row>
    <row r="33" spans="1:20" ht="12">
      <c r="A33" s="13">
        <v>5216</v>
      </c>
      <c r="B33" s="13" t="s">
        <v>77</v>
      </c>
      <c r="C33" s="36" t="s">
        <v>76</v>
      </c>
      <c r="D33" s="36" t="s">
        <v>317</v>
      </c>
      <c r="E33" s="36" t="s">
        <v>151</v>
      </c>
      <c r="F33" s="413">
        <v>409970085</v>
      </c>
      <c r="G33" s="413">
        <f t="shared" si="5"/>
        <v>409970085</v>
      </c>
      <c r="H33" s="11">
        <v>44048</v>
      </c>
      <c r="I33" s="11">
        <f t="shared" si="6"/>
        <v>44083</v>
      </c>
      <c r="J33" s="413">
        <v>409970085</v>
      </c>
      <c r="K33" s="11">
        <v>45290</v>
      </c>
      <c r="L33" s="286">
        <f>162701150.67+233259100</f>
        <v>395960250.66999996</v>
      </c>
      <c r="M33" s="342">
        <f t="shared" si="7"/>
        <v>14009834.330000043</v>
      </c>
      <c r="N33" s="151">
        <v>44610</v>
      </c>
      <c r="O33" s="1" t="s">
        <v>575</v>
      </c>
      <c r="P33" s="490"/>
      <c r="T33" s="286">
        <f>M33</f>
        <v>14009834.330000043</v>
      </c>
    </row>
    <row r="34" spans="1:20" ht="12">
      <c r="A34" s="13">
        <v>5218</v>
      </c>
      <c r="B34" s="13" t="s">
        <v>77</v>
      </c>
      <c r="C34" s="13" t="s">
        <v>283</v>
      </c>
      <c r="D34" s="36" t="s">
        <v>321</v>
      </c>
      <c r="E34" s="36" t="s">
        <v>228</v>
      </c>
      <c r="F34" s="409">
        <v>64819515</v>
      </c>
      <c r="G34" s="413">
        <f t="shared" si="5"/>
        <v>64819515</v>
      </c>
      <c r="H34" s="11">
        <v>44048</v>
      </c>
      <c r="I34" s="11">
        <f t="shared" si="6"/>
        <v>44083</v>
      </c>
      <c r="J34" s="413">
        <v>64819515</v>
      </c>
      <c r="K34" s="11">
        <v>45290</v>
      </c>
      <c r="L34" s="286">
        <v>0</v>
      </c>
      <c r="M34" s="286">
        <f t="shared" si="7"/>
        <v>64819515</v>
      </c>
      <c r="N34" s="151">
        <v>44266</v>
      </c>
      <c r="T34" s="286">
        <f t="shared" ref="T34:T45" si="8">M34</f>
        <v>64819515</v>
      </c>
    </row>
    <row r="35" spans="1:20" ht="12">
      <c r="A35" s="13">
        <v>5219</v>
      </c>
      <c r="B35" s="13" t="s">
        <v>77</v>
      </c>
      <c r="C35" s="13" t="s">
        <v>287</v>
      </c>
      <c r="D35" s="36" t="s">
        <v>321</v>
      </c>
      <c r="E35" s="36" t="s">
        <v>277</v>
      </c>
      <c r="F35" s="409">
        <v>10000000</v>
      </c>
      <c r="G35" s="413">
        <f t="shared" si="5"/>
        <v>10000000</v>
      </c>
      <c r="H35" s="11">
        <v>44048</v>
      </c>
      <c r="I35" s="11">
        <f t="shared" si="6"/>
        <v>44083</v>
      </c>
      <c r="J35" s="413">
        <v>10000000</v>
      </c>
      <c r="K35" s="11">
        <v>45290</v>
      </c>
      <c r="L35" s="286">
        <v>0</v>
      </c>
      <c r="M35" s="286">
        <f t="shared" si="7"/>
        <v>10000000</v>
      </c>
      <c r="N35" s="151">
        <v>44266</v>
      </c>
      <c r="T35" s="286">
        <f t="shared" si="8"/>
        <v>10000000</v>
      </c>
    </row>
    <row r="36" spans="1:20" ht="12">
      <c r="A36" s="13">
        <v>5220</v>
      </c>
      <c r="B36" s="13" t="s">
        <v>77</v>
      </c>
      <c r="C36" s="13" t="s">
        <v>280</v>
      </c>
      <c r="D36" s="36" t="s">
        <v>321</v>
      </c>
      <c r="E36" s="36" t="s">
        <v>278</v>
      </c>
      <c r="F36" s="409">
        <v>20000000</v>
      </c>
      <c r="G36" s="413">
        <f t="shared" si="5"/>
        <v>20000000</v>
      </c>
      <c r="H36" s="11">
        <v>44048</v>
      </c>
      <c r="I36" s="11">
        <f t="shared" si="6"/>
        <v>44083</v>
      </c>
      <c r="J36" s="413">
        <v>20000000</v>
      </c>
      <c r="K36" s="11">
        <v>45290</v>
      </c>
      <c r="L36" s="286">
        <v>0</v>
      </c>
      <c r="M36" s="286">
        <f t="shared" si="7"/>
        <v>20000000</v>
      </c>
      <c r="N36" s="151">
        <v>44266</v>
      </c>
      <c r="T36" s="286">
        <f t="shared" si="8"/>
        <v>20000000</v>
      </c>
    </row>
    <row r="37" spans="1:20" ht="12">
      <c r="A37" s="13">
        <v>5221</v>
      </c>
      <c r="B37" s="13" t="s">
        <v>77</v>
      </c>
      <c r="C37" s="13" t="s">
        <v>282</v>
      </c>
      <c r="D37" s="36" t="s">
        <v>321</v>
      </c>
      <c r="E37" s="36" t="s">
        <v>168</v>
      </c>
      <c r="F37" s="409">
        <v>6000000</v>
      </c>
      <c r="G37" s="413">
        <f t="shared" si="5"/>
        <v>6000000</v>
      </c>
      <c r="H37" s="11">
        <v>44048</v>
      </c>
      <c r="I37" s="11">
        <f t="shared" si="6"/>
        <v>44083</v>
      </c>
      <c r="J37" s="413">
        <v>6000000</v>
      </c>
      <c r="K37" s="11">
        <v>45290</v>
      </c>
      <c r="L37" s="286">
        <v>0</v>
      </c>
      <c r="M37" s="286">
        <f t="shared" si="7"/>
        <v>6000000</v>
      </c>
      <c r="N37" s="151">
        <v>44266</v>
      </c>
      <c r="T37" s="286">
        <f t="shared" si="8"/>
        <v>6000000</v>
      </c>
    </row>
    <row r="38" spans="1:20" ht="12">
      <c r="A38" s="13">
        <v>5222</v>
      </c>
      <c r="B38" s="13" t="s">
        <v>77</v>
      </c>
      <c r="C38" s="13" t="s">
        <v>281</v>
      </c>
      <c r="D38" s="36" t="s">
        <v>321</v>
      </c>
      <c r="E38" s="36" t="s">
        <v>275</v>
      </c>
      <c r="F38" s="409">
        <v>30000000</v>
      </c>
      <c r="G38" s="413">
        <f t="shared" si="5"/>
        <v>30000000</v>
      </c>
      <c r="H38" s="11">
        <v>44048</v>
      </c>
      <c r="I38" s="11">
        <f t="shared" si="6"/>
        <v>44083</v>
      </c>
      <c r="J38" s="413">
        <v>30000000</v>
      </c>
      <c r="K38" s="11">
        <v>45290</v>
      </c>
      <c r="L38" s="286">
        <v>0</v>
      </c>
      <c r="M38" s="286">
        <f t="shared" si="7"/>
        <v>30000000</v>
      </c>
      <c r="N38" s="151">
        <v>44266</v>
      </c>
      <c r="T38" s="286">
        <f t="shared" si="8"/>
        <v>30000000</v>
      </c>
    </row>
    <row r="39" spans="1:20" ht="12">
      <c r="A39" s="13">
        <v>5223</v>
      </c>
      <c r="B39" s="13" t="s">
        <v>77</v>
      </c>
      <c r="C39" s="13" t="s">
        <v>285</v>
      </c>
      <c r="D39" s="36" t="s">
        <v>321</v>
      </c>
      <c r="E39" s="36" t="s">
        <v>322</v>
      </c>
      <c r="F39" s="409">
        <v>35000000</v>
      </c>
      <c r="G39" s="413">
        <f t="shared" si="5"/>
        <v>35000000</v>
      </c>
      <c r="H39" s="11">
        <v>44048</v>
      </c>
      <c r="I39" s="11">
        <f t="shared" si="6"/>
        <v>44083</v>
      </c>
      <c r="J39" s="413">
        <v>35000000</v>
      </c>
      <c r="K39" s="11">
        <v>45290</v>
      </c>
      <c r="L39" s="286">
        <v>0</v>
      </c>
      <c r="M39" s="286">
        <f t="shared" si="7"/>
        <v>35000000</v>
      </c>
      <c r="N39" s="151">
        <v>44266</v>
      </c>
      <c r="T39" s="286">
        <f t="shared" si="8"/>
        <v>35000000</v>
      </c>
    </row>
    <row r="40" spans="1:20" ht="12">
      <c r="A40" s="13">
        <v>5224</v>
      </c>
      <c r="B40" s="13" t="s">
        <v>77</v>
      </c>
      <c r="C40" s="13" t="s">
        <v>289</v>
      </c>
      <c r="D40" s="36" t="s">
        <v>321</v>
      </c>
      <c r="E40" s="36" t="s">
        <v>78</v>
      </c>
      <c r="F40" s="409">
        <v>64819515</v>
      </c>
      <c r="G40" s="413">
        <f t="shared" si="5"/>
        <v>64819515</v>
      </c>
      <c r="H40" s="11">
        <v>44048</v>
      </c>
      <c r="I40" s="11">
        <f t="shared" si="6"/>
        <v>44083</v>
      </c>
      <c r="J40" s="413">
        <f>G40</f>
        <v>64819515</v>
      </c>
      <c r="K40" s="11">
        <v>45290</v>
      </c>
      <c r="L40" s="286">
        <v>0</v>
      </c>
      <c r="M40" s="286">
        <f t="shared" si="7"/>
        <v>64819515</v>
      </c>
      <c r="N40" s="151">
        <v>44266</v>
      </c>
      <c r="T40" s="286">
        <f t="shared" si="8"/>
        <v>64819515</v>
      </c>
    </row>
    <row r="41" spans="1:20" ht="12">
      <c r="A41" s="13">
        <v>5225</v>
      </c>
      <c r="B41" s="13" t="s">
        <v>77</v>
      </c>
      <c r="C41" s="13" t="s">
        <v>251</v>
      </c>
      <c r="D41" s="36" t="s">
        <v>317</v>
      </c>
      <c r="E41" s="36" t="s">
        <v>304</v>
      </c>
      <c r="F41" s="409">
        <v>30000000</v>
      </c>
      <c r="G41" s="413">
        <f t="shared" si="5"/>
        <v>30000000</v>
      </c>
      <c r="H41" s="11">
        <v>44048</v>
      </c>
      <c r="I41" s="11">
        <f t="shared" si="6"/>
        <v>44083</v>
      </c>
      <c r="J41" s="413">
        <v>30000000</v>
      </c>
      <c r="K41" s="11">
        <v>45290</v>
      </c>
      <c r="L41" s="286">
        <v>30000000</v>
      </c>
      <c r="M41" s="286">
        <f t="shared" si="7"/>
        <v>0</v>
      </c>
      <c r="N41" s="151">
        <v>44623</v>
      </c>
      <c r="O41" s="1" t="s">
        <v>393</v>
      </c>
      <c r="T41" s="286">
        <f>M41</f>
        <v>0</v>
      </c>
    </row>
    <row r="42" spans="1:20" ht="12">
      <c r="A42" s="13">
        <v>5226</v>
      </c>
      <c r="B42" s="13" t="s">
        <v>77</v>
      </c>
      <c r="C42" s="13" t="s">
        <v>141</v>
      </c>
      <c r="D42" s="36" t="s">
        <v>317</v>
      </c>
      <c r="E42" s="36" t="s">
        <v>323</v>
      </c>
      <c r="F42" s="409">
        <v>27500000</v>
      </c>
      <c r="G42" s="413">
        <f t="shared" si="5"/>
        <v>27500000</v>
      </c>
      <c r="H42" s="11">
        <v>44048</v>
      </c>
      <c r="I42" s="11">
        <f t="shared" si="6"/>
        <v>44083</v>
      </c>
      <c r="J42" s="413">
        <v>27500000</v>
      </c>
      <c r="K42" s="11">
        <v>45290</v>
      </c>
      <c r="L42" s="286">
        <v>0</v>
      </c>
      <c r="M42" s="286">
        <f t="shared" si="7"/>
        <v>27500000</v>
      </c>
      <c r="N42" s="151">
        <v>44251</v>
      </c>
      <c r="T42" s="286">
        <f t="shared" si="8"/>
        <v>27500000</v>
      </c>
    </row>
    <row r="43" spans="1:20" ht="12">
      <c r="A43" s="13">
        <v>5227</v>
      </c>
      <c r="B43" s="13" t="s">
        <v>77</v>
      </c>
      <c r="C43" s="36" t="s">
        <v>288</v>
      </c>
      <c r="D43" s="36" t="s">
        <v>324</v>
      </c>
      <c r="E43" s="36" t="s">
        <v>323</v>
      </c>
      <c r="F43" s="413">
        <v>37319515</v>
      </c>
      <c r="G43" s="413">
        <f t="shared" si="5"/>
        <v>37319515</v>
      </c>
      <c r="H43" s="11">
        <v>44048</v>
      </c>
      <c r="I43" s="11">
        <f t="shared" si="6"/>
        <v>44083</v>
      </c>
      <c r="J43" s="413">
        <v>37319515</v>
      </c>
      <c r="K43" s="11">
        <v>45290</v>
      </c>
      <c r="L43" s="286">
        <v>0</v>
      </c>
      <c r="M43" s="286">
        <f t="shared" si="7"/>
        <v>37319515</v>
      </c>
      <c r="N43" s="151">
        <v>44266</v>
      </c>
      <c r="T43" s="286">
        <f t="shared" si="8"/>
        <v>37319515</v>
      </c>
    </row>
    <row r="44" spans="1:20" ht="12">
      <c r="A44" s="13">
        <v>5228</v>
      </c>
      <c r="B44" s="13" t="s">
        <v>77</v>
      </c>
      <c r="C44" s="36" t="s">
        <v>340</v>
      </c>
      <c r="D44" s="36" t="s">
        <v>324</v>
      </c>
      <c r="E44" s="36" t="s">
        <v>166</v>
      </c>
      <c r="F44" s="413">
        <v>4000000</v>
      </c>
      <c r="G44" s="413">
        <f t="shared" si="5"/>
        <v>4000000</v>
      </c>
      <c r="H44" s="11">
        <v>44048</v>
      </c>
      <c r="I44" s="11">
        <f t="shared" si="6"/>
        <v>44083</v>
      </c>
      <c r="J44" s="413">
        <v>4000000</v>
      </c>
      <c r="K44" s="11">
        <v>45290</v>
      </c>
      <c r="L44" s="286">
        <v>0</v>
      </c>
      <c r="M44" s="286">
        <f t="shared" si="7"/>
        <v>4000000</v>
      </c>
      <c r="N44" s="151">
        <v>44266</v>
      </c>
      <c r="T44" s="286">
        <f t="shared" si="8"/>
        <v>4000000</v>
      </c>
    </row>
    <row r="45" spans="1:20" ht="12">
      <c r="A45" s="13">
        <v>5229</v>
      </c>
      <c r="B45" s="13" t="s">
        <v>77</v>
      </c>
      <c r="C45" s="36" t="s">
        <v>279</v>
      </c>
      <c r="D45" s="36" t="s">
        <v>325</v>
      </c>
      <c r="E45" s="36" t="s">
        <v>164</v>
      </c>
      <c r="F45" s="413">
        <v>15000000</v>
      </c>
      <c r="G45" s="413">
        <f t="shared" si="5"/>
        <v>15000000</v>
      </c>
      <c r="H45" s="11">
        <v>44048</v>
      </c>
      <c r="I45" s="11">
        <f t="shared" si="6"/>
        <v>44083</v>
      </c>
      <c r="J45" s="413">
        <v>15000000</v>
      </c>
      <c r="K45" s="11">
        <v>45290</v>
      </c>
      <c r="L45" s="286">
        <v>0</v>
      </c>
      <c r="M45" s="286">
        <f t="shared" si="7"/>
        <v>15000000</v>
      </c>
      <c r="N45" s="151">
        <v>44266</v>
      </c>
      <c r="T45" s="286">
        <f t="shared" si="8"/>
        <v>15000000</v>
      </c>
    </row>
    <row r="46" spans="1:20" ht="12">
      <c r="A46" s="13"/>
      <c r="B46" s="13"/>
      <c r="C46" s="13"/>
      <c r="D46" s="13"/>
      <c r="E46" s="13"/>
      <c r="F46" s="286"/>
      <c r="G46" s="184"/>
      <c r="H46" s="184"/>
      <c r="I46" s="184"/>
      <c r="J46" s="184"/>
      <c r="K46" s="184"/>
      <c r="M46" s="202"/>
      <c r="N46" s="151"/>
      <c r="T46" s="443"/>
    </row>
    <row r="47" spans="1:20" ht="12">
      <c r="F47" s="184"/>
      <c r="G47" s="449"/>
      <c r="H47" s="184"/>
      <c r="I47" s="184"/>
      <c r="J47" s="192">
        <f>SUM(J31:J46)</f>
        <v>796326461.79999995</v>
      </c>
      <c r="K47" s="402"/>
      <c r="L47" s="192">
        <f>SUM(L31:L46)</f>
        <v>428691316.33999997</v>
      </c>
      <c r="M47" s="192">
        <f>SUM(M31:M46)</f>
        <v>367635145.46000004</v>
      </c>
      <c r="N47" s="151"/>
      <c r="T47" s="322">
        <f>SUM(T31:T46)</f>
        <v>370366211.13000005</v>
      </c>
    </row>
    <row r="48" spans="1:20" ht="12.6" thickBot="1">
      <c r="F48" s="449"/>
      <c r="G48" s="450"/>
      <c r="H48" s="184"/>
      <c r="I48" s="184"/>
      <c r="J48" s="184"/>
      <c r="K48" s="184"/>
      <c r="L48" s="191"/>
      <c r="M48" s="388"/>
      <c r="N48" s="151"/>
    </row>
    <row r="49" spans="1:20" ht="12">
      <c r="A49" s="168" t="s">
        <v>94</v>
      </c>
      <c r="F49" s="449"/>
      <c r="G49" s="449"/>
      <c r="H49" s="151"/>
      <c r="I49" s="184"/>
      <c r="J49" s="446"/>
      <c r="K49" s="287"/>
      <c r="M49" s="388"/>
      <c r="N49" s="151"/>
    </row>
    <row r="50" spans="1:20" ht="12">
      <c r="A50" s="13">
        <v>5199</v>
      </c>
      <c r="B50" s="13" t="s">
        <v>77</v>
      </c>
      <c r="C50" s="13" t="s">
        <v>365</v>
      </c>
      <c r="D50" s="36" t="s">
        <v>94</v>
      </c>
      <c r="E50" s="36" t="s">
        <v>79</v>
      </c>
      <c r="F50" s="409">
        <v>60000000</v>
      </c>
      <c r="G50" s="286">
        <v>60000000</v>
      </c>
      <c r="H50" s="11">
        <v>44019</v>
      </c>
      <c r="I50" s="11">
        <f>H50+35</f>
        <v>44054</v>
      </c>
      <c r="J50" s="286">
        <v>60000000</v>
      </c>
      <c r="K50" s="11">
        <v>45290</v>
      </c>
      <c r="L50" s="286">
        <v>47500000</v>
      </c>
      <c r="M50" s="286">
        <f>J50-L50</f>
        <v>12500000</v>
      </c>
      <c r="N50" s="151">
        <v>44624</v>
      </c>
      <c r="O50" s="424" t="s">
        <v>603</v>
      </c>
      <c r="T50" s="286">
        <f>L50</f>
        <v>47500000</v>
      </c>
    </row>
    <row r="51" spans="1:20" ht="12">
      <c r="A51" s="13">
        <v>5203</v>
      </c>
      <c r="B51" s="13" t="s">
        <v>77</v>
      </c>
      <c r="C51" s="13" t="s">
        <v>308</v>
      </c>
      <c r="D51" s="36" t="s">
        <v>94</v>
      </c>
      <c r="E51" s="36" t="s">
        <v>80</v>
      </c>
      <c r="F51" s="409">
        <v>50000000</v>
      </c>
      <c r="G51" s="286">
        <v>50000000</v>
      </c>
      <c r="H51" s="11">
        <v>44028</v>
      </c>
      <c r="I51" s="11">
        <f>H51+35</f>
        <v>44063</v>
      </c>
      <c r="J51" s="286">
        <v>50000000</v>
      </c>
      <c r="K51" s="11">
        <v>45290</v>
      </c>
      <c r="L51" s="346">
        <v>35000000</v>
      </c>
      <c r="M51" s="346">
        <f>J51-L51</f>
        <v>15000000</v>
      </c>
      <c r="N51" s="497">
        <v>44597</v>
      </c>
      <c r="O51" s="498" t="s">
        <v>556</v>
      </c>
      <c r="Q51" s="447"/>
      <c r="T51" s="286">
        <f>M51+L51</f>
        <v>50000000</v>
      </c>
    </row>
    <row r="52" spans="1:20" ht="12">
      <c r="A52" s="13">
        <v>5233</v>
      </c>
      <c r="B52" s="13" t="s">
        <v>316</v>
      </c>
      <c r="C52" s="13" t="s">
        <v>141</v>
      </c>
      <c r="D52" s="36" t="s">
        <v>94</v>
      </c>
      <c r="E52" s="36" t="s">
        <v>301</v>
      </c>
      <c r="F52" s="409">
        <v>64819515</v>
      </c>
      <c r="G52" s="286">
        <f>F52</f>
        <v>64819515</v>
      </c>
      <c r="H52" s="11">
        <v>44050</v>
      </c>
      <c r="I52" s="11">
        <f t="shared" ref="I52:I60" si="9">H52+35</f>
        <v>44085</v>
      </c>
      <c r="J52" s="286">
        <v>515</v>
      </c>
      <c r="K52" s="11">
        <f t="shared" ref="K52:K53" si="10">H52+180</f>
        <v>44230</v>
      </c>
      <c r="L52" s="286">
        <v>0</v>
      </c>
      <c r="M52" s="286">
        <f>J52-L52</f>
        <v>515</v>
      </c>
      <c r="N52" s="151">
        <v>44366</v>
      </c>
      <c r="O52" s="285"/>
      <c r="T52" s="286">
        <f t="shared" ref="T52:T59" si="11">M52</f>
        <v>515</v>
      </c>
    </row>
    <row r="53" spans="1:20" ht="12">
      <c r="A53" s="13">
        <v>5236</v>
      </c>
      <c r="B53" s="13" t="s">
        <v>316</v>
      </c>
      <c r="C53" s="13" t="s">
        <v>141</v>
      </c>
      <c r="D53" s="36" t="s">
        <v>94</v>
      </c>
      <c r="E53" s="36" t="s">
        <v>142</v>
      </c>
      <c r="F53" s="409">
        <v>10000000</v>
      </c>
      <c r="G53" s="286">
        <f t="shared" ref="G53" si="12">F53</f>
        <v>10000000</v>
      </c>
      <c r="H53" s="11">
        <v>44050</v>
      </c>
      <c r="I53" s="11">
        <f t="shared" si="9"/>
        <v>44085</v>
      </c>
      <c r="J53" s="286">
        <v>4750000</v>
      </c>
      <c r="K53" s="11">
        <f t="shared" si="10"/>
        <v>44230</v>
      </c>
      <c r="L53" s="286">
        <v>0</v>
      </c>
      <c r="M53" s="286">
        <f t="shared" ref="M53" si="13">J53-L53</f>
        <v>4750000</v>
      </c>
      <c r="N53" s="151">
        <v>44366</v>
      </c>
      <c r="O53" s="285"/>
      <c r="T53" s="286">
        <f t="shared" si="11"/>
        <v>4750000</v>
      </c>
    </row>
    <row r="54" spans="1:20" ht="12">
      <c r="A54" s="13">
        <v>5238</v>
      </c>
      <c r="B54" s="13" t="s">
        <v>77</v>
      </c>
      <c r="C54" s="13" t="s">
        <v>143</v>
      </c>
      <c r="D54" s="36" t="s">
        <v>94</v>
      </c>
      <c r="E54" s="36" t="s">
        <v>79</v>
      </c>
      <c r="F54" s="409">
        <v>25000000</v>
      </c>
      <c r="G54" s="286">
        <v>25000000</v>
      </c>
      <c r="H54" s="11">
        <v>44050</v>
      </c>
      <c r="I54" s="11">
        <f t="shared" si="9"/>
        <v>44085</v>
      </c>
      <c r="J54" s="286">
        <v>10750000</v>
      </c>
      <c r="K54" s="11">
        <v>45290</v>
      </c>
      <c r="L54" s="286">
        <v>0</v>
      </c>
      <c r="M54" s="286">
        <f t="shared" ref="M54:M60" si="14">J54-L54</f>
        <v>10750000</v>
      </c>
      <c r="N54" s="151">
        <v>44505</v>
      </c>
      <c r="O54" s="1"/>
      <c r="T54" s="286">
        <f t="shared" si="11"/>
        <v>10750000</v>
      </c>
    </row>
    <row r="55" spans="1:20" ht="12">
      <c r="A55" s="13">
        <v>5246</v>
      </c>
      <c r="B55" s="13" t="s">
        <v>77</v>
      </c>
      <c r="C55" s="13" t="s">
        <v>76</v>
      </c>
      <c r="D55" s="36" t="s">
        <v>94</v>
      </c>
      <c r="E55" s="13" t="s">
        <v>80</v>
      </c>
      <c r="F55" s="286">
        <v>20000000</v>
      </c>
      <c r="G55" s="286">
        <v>20000000</v>
      </c>
      <c r="H55" s="11">
        <v>44056</v>
      </c>
      <c r="I55" s="11">
        <f t="shared" si="9"/>
        <v>44091</v>
      </c>
      <c r="J55" s="286">
        <v>17550000</v>
      </c>
      <c r="K55" s="11">
        <v>45290</v>
      </c>
      <c r="L55" s="346">
        <f>5000000+6000000+6550000</f>
        <v>17550000</v>
      </c>
      <c r="M55" s="346">
        <f t="shared" si="14"/>
        <v>0</v>
      </c>
      <c r="N55" s="497">
        <v>44624</v>
      </c>
      <c r="O55" s="2" t="s">
        <v>601</v>
      </c>
      <c r="P55" s="285" t="s">
        <v>600</v>
      </c>
      <c r="R55" s="191"/>
      <c r="T55" s="286">
        <f>M55</f>
        <v>0</v>
      </c>
    </row>
    <row r="56" spans="1:20" ht="12">
      <c r="A56" s="13">
        <v>5252</v>
      </c>
      <c r="B56" s="13" t="s">
        <v>77</v>
      </c>
      <c r="C56" s="13" t="s">
        <v>98</v>
      </c>
      <c r="D56" s="36" t="s">
        <v>94</v>
      </c>
      <c r="E56" s="36" t="s">
        <v>79</v>
      </c>
      <c r="F56" s="409">
        <v>45000000</v>
      </c>
      <c r="G56" s="67">
        <f t="shared" ref="G56:G59" si="15">F56</f>
        <v>45000000</v>
      </c>
      <c r="H56" s="350">
        <v>44063</v>
      </c>
      <c r="I56" s="11">
        <f t="shared" si="9"/>
        <v>44098</v>
      </c>
      <c r="J56" s="286">
        <v>45000000</v>
      </c>
      <c r="K56" s="11">
        <v>45290</v>
      </c>
      <c r="L56" s="346">
        <v>45000000</v>
      </c>
      <c r="M56" s="346">
        <f t="shared" si="14"/>
        <v>0</v>
      </c>
      <c r="N56" s="497">
        <v>44572</v>
      </c>
      <c r="O56" s="285" t="s">
        <v>510</v>
      </c>
      <c r="T56" s="286">
        <f>M56</f>
        <v>0</v>
      </c>
    </row>
    <row r="57" spans="1:20" ht="12">
      <c r="A57" s="13">
        <v>5253</v>
      </c>
      <c r="B57" s="13" t="s">
        <v>77</v>
      </c>
      <c r="C57" s="13" t="s">
        <v>98</v>
      </c>
      <c r="D57" s="36" t="s">
        <v>94</v>
      </c>
      <c r="E57" s="36" t="s">
        <v>79</v>
      </c>
      <c r="F57" s="409">
        <v>40000000</v>
      </c>
      <c r="G57" s="67">
        <f t="shared" si="15"/>
        <v>40000000</v>
      </c>
      <c r="H57" s="350">
        <v>44063</v>
      </c>
      <c r="I57" s="11">
        <f t="shared" si="9"/>
        <v>44098</v>
      </c>
      <c r="J57" s="286">
        <v>40000000</v>
      </c>
      <c r="K57" s="11">
        <v>45290</v>
      </c>
      <c r="L57" s="488">
        <f>33000000+7000000</f>
        <v>40000000</v>
      </c>
      <c r="M57" s="488">
        <f t="shared" si="14"/>
        <v>0</v>
      </c>
      <c r="N57" s="486">
        <v>44572</v>
      </c>
      <c r="O57" s="490" t="s">
        <v>504</v>
      </c>
      <c r="P57" s="285" t="s">
        <v>511</v>
      </c>
      <c r="T57" s="286">
        <f>L57</f>
        <v>40000000</v>
      </c>
    </row>
    <row r="58" spans="1:20" ht="12">
      <c r="A58" s="13">
        <v>5254</v>
      </c>
      <c r="B58" s="13" t="s">
        <v>77</v>
      </c>
      <c r="C58" s="13" t="s">
        <v>212</v>
      </c>
      <c r="D58" s="36" t="s">
        <v>94</v>
      </c>
      <c r="E58" s="36" t="s">
        <v>79</v>
      </c>
      <c r="F58" s="409">
        <v>50000000</v>
      </c>
      <c r="G58" s="67">
        <f t="shared" si="15"/>
        <v>50000000</v>
      </c>
      <c r="H58" s="350">
        <v>44063</v>
      </c>
      <c r="I58" s="11">
        <f t="shared" si="9"/>
        <v>44098</v>
      </c>
      <c r="J58" s="286">
        <v>50000000</v>
      </c>
      <c r="K58" s="11">
        <v>45290</v>
      </c>
      <c r="L58" s="488">
        <f>8000000+8500000</f>
        <v>16500000</v>
      </c>
      <c r="M58" s="488">
        <f t="shared" si="14"/>
        <v>33500000</v>
      </c>
      <c r="N58" s="486">
        <v>44513</v>
      </c>
      <c r="O58" s="490" t="s">
        <v>406</v>
      </c>
      <c r="T58" s="286">
        <f>M58+L58</f>
        <v>50000000</v>
      </c>
    </row>
    <row r="59" spans="1:20" ht="12">
      <c r="A59" s="13">
        <v>5255</v>
      </c>
      <c r="B59" s="13" t="s">
        <v>77</v>
      </c>
      <c r="C59" s="13" t="s">
        <v>212</v>
      </c>
      <c r="D59" s="36" t="s">
        <v>94</v>
      </c>
      <c r="E59" s="36" t="s">
        <v>79</v>
      </c>
      <c r="F59" s="409">
        <v>50000000</v>
      </c>
      <c r="G59" s="67">
        <f t="shared" si="15"/>
        <v>50000000</v>
      </c>
      <c r="H59" s="350">
        <v>44063</v>
      </c>
      <c r="I59" s="11">
        <f t="shared" si="9"/>
        <v>44098</v>
      </c>
      <c r="J59" s="286">
        <v>50000000</v>
      </c>
      <c r="K59" s="11">
        <v>45290</v>
      </c>
      <c r="L59" s="286">
        <v>0</v>
      </c>
      <c r="M59" s="286">
        <f t="shared" si="14"/>
        <v>50000000</v>
      </c>
      <c r="N59" s="151">
        <v>44244</v>
      </c>
      <c r="O59" s="285"/>
      <c r="T59" s="286">
        <f t="shared" si="11"/>
        <v>50000000</v>
      </c>
    </row>
    <row r="60" spans="1:20" ht="12">
      <c r="A60" s="13">
        <v>5259</v>
      </c>
      <c r="B60" s="13" t="s">
        <v>77</v>
      </c>
      <c r="C60" s="13" t="s">
        <v>261</v>
      </c>
      <c r="D60" s="36" t="s">
        <v>94</v>
      </c>
      <c r="E60" s="36" t="s">
        <v>78</v>
      </c>
      <c r="F60" s="409">
        <v>35000000</v>
      </c>
      <c r="G60" s="409">
        <v>35000000</v>
      </c>
      <c r="H60" s="350">
        <v>44082</v>
      </c>
      <c r="I60" s="11">
        <f t="shared" si="9"/>
        <v>44117</v>
      </c>
      <c r="J60" s="286">
        <v>6400000</v>
      </c>
      <c r="K60" s="11">
        <v>45290</v>
      </c>
      <c r="L60" s="346">
        <v>6400000</v>
      </c>
      <c r="M60" s="346">
        <f t="shared" si="14"/>
        <v>0</v>
      </c>
      <c r="N60" s="497">
        <v>44623</v>
      </c>
      <c r="O60" s="208" t="s">
        <v>597</v>
      </c>
      <c r="T60" s="286">
        <v>6400000</v>
      </c>
    </row>
    <row r="61" spans="1:20" s="185" customFormat="1" ht="12">
      <c r="A61" s="13"/>
      <c r="B61" s="13"/>
      <c r="C61" s="13"/>
      <c r="D61" s="36"/>
      <c r="E61" s="36"/>
      <c r="F61" s="286"/>
      <c r="G61" s="123"/>
      <c r="H61" s="7"/>
      <c r="I61" s="183"/>
      <c r="J61" s="123"/>
      <c r="K61" s="183"/>
      <c r="L61" s="32"/>
      <c r="M61" s="123"/>
      <c r="N61" s="183"/>
      <c r="T61" s="62"/>
    </row>
    <row r="62" spans="1:20" ht="12">
      <c r="A62" s="5"/>
      <c r="B62" s="5"/>
      <c r="C62" s="5"/>
      <c r="D62" s="26"/>
      <c r="E62" s="26"/>
      <c r="F62" s="341"/>
      <c r="G62" s="71"/>
      <c r="H62" s="3"/>
      <c r="I62" s="3"/>
      <c r="J62" s="77">
        <f>SUM(J50:J61)</f>
        <v>334450515</v>
      </c>
      <c r="K62" s="7"/>
      <c r="L62" s="77">
        <f>SUM(L50:L61)</f>
        <v>207950000</v>
      </c>
      <c r="M62" s="77">
        <f>SUM(M50:M61)</f>
        <v>126500515</v>
      </c>
      <c r="N62" s="151"/>
      <c r="T62" s="77">
        <f>SUM(T50:T61)</f>
        <v>259400515</v>
      </c>
    </row>
    <row r="63" spans="1:20" ht="12.6" thickBot="1">
      <c r="F63" s="184"/>
      <c r="G63" s="184"/>
      <c r="H63" s="184"/>
      <c r="I63" s="184"/>
      <c r="J63" s="451"/>
      <c r="K63" s="184"/>
      <c r="L63" s="447"/>
      <c r="N63" s="151"/>
    </row>
    <row r="64" spans="1:20" ht="12">
      <c r="A64" s="168" t="s">
        <v>60</v>
      </c>
      <c r="F64" s="184"/>
      <c r="G64" s="187"/>
      <c r="H64" s="151"/>
      <c r="I64" s="184"/>
      <c r="J64" s="184"/>
      <c r="K64" s="184"/>
      <c r="N64" s="151"/>
    </row>
    <row r="65" spans="1:20" ht="12">
      <c r="A65" s="13">
        <v>5268</v>
      </c>
      <c r="B65" s="13" t="s">
        <v>77</v>
      </c>
      <c r="C65" s="13" t="s">
        <v>83</v>
      </c>
      <c r="D65" s="36" t="s">
        <v>379</v>
      </c>
      <c r="E65" s="36" t="s">
        <v>82</v>
      </c>
      <c r="F65" s="452">
        <v>99275400.870000005</v>
      </c>
      <c r="G65" s="452">
        <f>F65</f>
        <v>99275400.870000005</v>
      </c>
      <c r="H65" s="350">
        <v>44149</v>
      </c>
      <c r="I65" s="11">
        <f t="shared" ref="I65" si="16">H65+35</f>
        <v>44184</v>
      </c>
      <c r="J65" s="286">
        <v>74275000</v>
      </c>
      <c r="K65" s="11">
        <f>H65+150</f>
        <v>44299</v>
      </c>
      <c r="L65" s="286">
        <v>0</v>
      </c>
      <c r="M65" s="286">
        <f>J65-L65</f>
        <v>74275000</v>
      </c>
      <c r="N65" s="151">
        <v>44454</v>
      </c>
      <c r="O65" s="1"/>
      <c r="T65" s="286">
        <f>M65</f>
        <v>74275000</v>
      </c>
    </row>
    <row r="66" spans="1:20" ht="12">
      <c r="N66" s="151"/>
    </row>
    <row r="67" spans="1:20" ht="12">
      <c r="I67" s="196"/>
      <c r="J67" s="338">
        <f>SUM(J65:J66)</f>
        <v>74275000</v>
      </c>
      <c r="K67" s="185"/>
      <c r="L67" s="77">
        <f>SUM(L65:L66)</f>
        <v>0</v>
      </c>
      <c r="M67" s="77">
        <f>SUM(M65:M66)</f>
        <v>74275000</v>
      </c>
      <c r="N67" s="151"/>
      <c r="T67" s="77">
        <f>SUM(T65:T66)</f>
        <v>74275000</v>
      </c>
    </row>
    <row r="68" spans="1:20" ht="12">
      <c r="I68" s="196"/>
      <c r="N68" s="151"/>
    </row>
    <row r="70" spans="1:20" ht="12.6" thickBot="1">
      <c r="J70" s="339">
        <f>J22+J47+J62+J67</f>
        <v>1610689214.6700001</v>
      </c>
      <c r="M70" s="339">
        <f>M67+M62+M47+M22</f>
        <v>917247898.33000004</v>
      </c>
      <c r="O70" s="263"/>
      <c r="P70" s="263"/>
      <c r="Q70" s="263"/>
      <c r="R70" s="263"/>
      <c r="T70" s="337">
        <f>T67+T62+T47+T22</f>
        <v>1052878964.0000001</v>
      </c>
    </row>
    <row r="71" spans="1:20" ht="12" thickTop="1">
      <c r="M71" s="196"/>
      <c r="T71" s="196"/>
    </row>
    <row r="72" spans="1:20">
      <c r="J72" s="388"/>
      <c r="L72" s="191"/>
      <c r="M72" s="196"/>
    </row>
    <row r="73" spans="1:20">
      <c r="H73" s="198"/>
      <c r="J73" s="388"/>
    </row>
    <row r="74" spans="1:20">
      <c r="H74" s="198"/>
      <c r="L74" s="191"/>
    </row>
    <row r="75" spans="1:20" ht="12">
      <c r="A75" s="13"/>
      <c r="B75" s="13"/>
      <c r="C75" s="13"/>
      <c r="D75" s="36"/>
      <c r="E75" s="36"/>
      <c r="F75" s="409"/>
      <c r="G75" s="286"/>
      <c r="H75" s="11"/>
      <c r="I75" s="11"/>
      <c r="J75" s="342"/>
      <c r="K75" s="11"/>
      <c r="L75" s="388"/>
    </row>
    <row r="76" spans="1:20">
      <c r="J76" s="356"/>
      <c r="K76" s="198"/>
      <c r="L76" s="257"/>
    </row>
    <row r="77" spans="1:20">
      <c r="J77" s="426"/>
    </row>
    <row r="78" spans="1:20">
      <c r="J78" s="426"/>
      <c r="L78" s="447"/>
    </row>
  </sheetData>
  <phoneticPr fontId="3"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642D0-1824-42F3-94DA-B32DCF44B0A3}">
  <dimension ref="A1:T99"/>
  <sheetViews>
    <sheetView topLeftCell="A48" workbookViewId="0">
      <selection activeCell="M90" sqref="M90"/>
    </sheetView>
  </sheetViews>
  <sheetFormatPr defaultRowHeight="11.4"/>
  <cols>
    <col min="1" max="2" width="9.25" customWidth="1"/>
    <col min="3" max="3" width="40" bestFit="1" customWidth="1"/>
    <col min="4" max="4" width="37.125" customWidth="1"/>
    <col min="5" max="5" width="12.125" customWidth="1"/>
    <col min="6" max="7" width="15.75" customWidth="1"/>
    <col min="8" max="8" width="18.125" bestFit="1" customWidth="1"/>
    <col min="9" max="9" width="11.875" customWidth="1"/>
    <col min="10" max="10" width="15.75" customWidth="1"/>
    <col min="11" max="11" width="11.875" customWidth="1"/>
    <col min="12" max="12" width="17.625" customWidth="1"/>
    <col min="13" max="13" width="21.625" customWidth="1"/>
    <col min="14" max="14" width="11" customWidth="1"/>
    <col min="15" max="15" width="15.75" customWidth="1"/>
    <col min="16" max="16" width="10.875" bestFit="1" customWidth="1"/>
    <col min="17" max="17" width="14.25" bestFit="1" customWidth="1"/>
    <col min="18" max="18" width="9.125" customWidth="1"/>
    <col min="20" max="20" width="26.75" bestFit="1" customWidth="1"/>
  </cols>
  <sheetData>
    <row r="1" spans="1:20" ht="13.2">
      <c r="A1" s="158"/>
      <c r="B1" s="158" t="s">
        <v>341</v>
      </c>
      <c r="C1" s="159"/>
      <c r="D1" s="160"/>
      <c r="E1" s="162"/>
      <c r="F1" s="172"/>
      <c r="G1" s="172"/>
      <c r="H1" s="173"/>
      <c r="I1" s="173"/>
      <c r="J1" s="174"/>
      <c r="K1" s="173"/>
      <c r="L1" s="172"/>
      <c r="M1" s="173"/>
      <c r="N1" s="360"/>
      <c r="O1" s="360"/>
      <c r="P1" s="360"/>
      <c r="Q1" s="270"/>
      <c r="T1" s="333" t="s">
        <v>89</v>
      </c>
    </row>
    <row r="2" spans="1:20" ht="13.2">
      <c r="A2" s="152" t="s">
        <v>32</v>
      </c>
      <c r="B2" s="271" t="s">
        <v>37</v>
      </c>
      <c r="C2" s="272" t="s">
        <v>31</v>
      </c>
      <c r="D2" s="273" t="s">
        <v>49</v>
      </c>
      <c r="E2" s="273" t="s">
        <v>45</v>
      </c>
      <c r="F2" s="175" t="s">
        <v>84</v>
      </c>
      <c r="G2" s="175" t="s">
        <v>85</v>
      </c>
      <c r="H2" s="274" t="s">
        <v>96</v>
      </c>
      <c r="I2" s="274" t="s">
        <v>86</v>
      </c>
      <c r="J2" s="176" t="s">
        <v>87</v>
      </c>
      <c r="K2" s="274"/>
      <c r="L2" s="175" t="s">
        <v>88</v>
      </c>
      <c r="M2" s="275" t="s">
        <v>89</v>
      </c>
      <c r="N2" s="361" t="s">
        <v>22</v>
      </c>
      <c r="O2" s="363" t="s">
        <v>171</v>
      </c>
      <c r="P2" s="363" t="s">
        <v>237</v>
      </c>
      <c r="Q2" s="364" t="s">
        <v>239</v>
      </c>
      <c r="T2" s="334" t="s">
        <v>90</v>
      </c>
    </row>
    <row r="3" spans="1:20" ht="13.2">
      <c r="A3" s="152" t="s">
        <v>48</v>
      </c>
      <c r="B3" s="277"/>
      <c r="C3" s="272"/>
      <c r="D3" s="273"/>
      <c r="E3" s="273"/>
      <c r="F3" s="175" t="s">
        <v>55</v>
      </c>
      <c r="G3" s="175" t="s">
        <v>55</v>
      </c>
      <c r="H3" s="274" t="s">
        <v>9</v>
      </c>
      <c r="I3" s="274" t="s">
        <v>18</v>
      </c>
      <c r="J3" s="176" t="s">
        <v>55</v>
      </c>
      <c r="K3" s="274" t="s">
        <v>18</v>
      </c>
      <c r="L3" s="175" t="s">
        <v>55</v>
      </c>
      <c r="M3" s="275" t="s">
        <v>90</v>
      </c>
      <c r="N3" s="361" t="s">
        <v>5</v>
      </c>
      <c r="O3" s="363" t="s">
        <v>170</v>
      </c>
      <c r="P3" s="363" t="s">
        <v>238</v>
      </c>
      <c r="Q3" s="364" t="s">
        <v>240</v>
      </c>
      <c r="T3" s="334" t="s">
        <v>224</v>
      </c>
    </row>
    <row r="4" spans="1:20" ht="13.8" thickBot="1">
      <c r="A4" s="153" t="s">
        <v>17</v>
      </c>
      <c r="B4" s="154"/>
      <c r="C4" s="155"/>
      <c r="D4" s="156"/>
      <c r="E4" s="156"/>
      <c r="F4" s="177"/>
      <c r="G4" s="177"/>
      <c r="H4" s="178"/>
      <c r="I4" s="178"/>
      <c r="J4" s="179"/>
      <c r="K4" s="178"/>
      <c r="L4" s="177"/>
      <c r="M4" s="177"/>
      <c r="N4" s="362" t="s">
        <v>9</v>
      </c>
      <c r="O4" s="362"/>
      <c r="P4" s="362"/>
      <c r="Q4" s="365" t="s">
        <v>9</v>
      </c>
      <c r="T4" s="335" t="s">
        <v>407</v>
      </c>
    </row>
    <row r="5" spans="1:20">
      <c r="A5" s="31" t="s">
        <v>243</v>
      </c>
    </row>
    <row r="6" spans="1:20">
      <c r="A6" s="31"/>
      <c r="H6" s="198"/>
      <c r="K6" s="198"/>
    </row>
    <row r="7" spans="1:20" ht="12.75" customHeight="1">
      <c r="A7" s="31" t="s">
        <v>148</v>
      </c>
      <c r="H7" s="198"/>
      <c r="K7" s="198"/>
    </row>
    <row r="8" spans="1:20" s="4" customFormat="1">
      <c r="A8" s="31" t="s">
        <v>368</v>
      </c>
      <c r="B8" s="5" t="s">
        <v>77</v>
      </c>
      <c r="C8" s="5" t="s">
        <v>212</v>
      </c>
      <c r="D8" s="5" t="s">
        <v>370</v>
      </c>
      <c r="E8" s="4" t="s">
        <v>79</v>
      </c>
      <c r="F8" s="123">
        <v>50000000</v>
      </c>
      <c r="G8" s="123">
        <v>50000000</v>
      </c>
      <c r="H8" s="7">
        <v>44575</v>
      </c>
      <c r="I8" s="7">
        <v>44576</v>
      </c>
      <c r="J8" s="123">
        <f>G8</f>
        <v>50000000</v>
      </c>
      <c r="K8" s="7">
        <v>45656</v>
      </c>
      <c r="L8" s="123"/>
      <c r="M8" s="123"/>
      <c r="O8" s="5">
        <v>3</v>
      </c>
      <c r="P8" s="5">
        <v>240</v>
      </c>
      <c r="Q8" s="6">
        <v>44197</v>
      </c>
      <c r="T8" s="123">
        <f>J8</f>
        <v>50000000</v>
      </c>
    </row>
    <row r="9" spans="1:20" s="4" customFormat="1">
      <c r="A9" s="31" t="s">
        <v>369</v>
      </c>
      <c r="B9" s="5" t="s">
        <v>77</v>
      </c>
      <c r="C9" s="5" t="s">
        <v>152</v>
      </c>
      <c r="D9" s="5" t="s">
        <v>332</v>
      </c>
      <c r="E9" s="4" t="s">
        <v>81</v>
      </c>
      <c r="F9" s="123">
        <v>50000000</v>
      </c>
      <c r="G9" s="123">
        <v>38987474</v>
      </c>
      <c r="H9" s="7">
        <v>44581</v>
      </c>
      <c r="I9" s="7">
        <v>44586</v>
      </c>
      <c r="J9" s="123">
        <f>G9</f>
        <v>38987474</v>
      </c>
      <c r="K9" s="7">
        <v>45656</v>
      </c>
      <c r="L9" s="123"/>
      <c r="M9" s="123"/>
      <c r="O9" s="5">
        <v>3</v>
      </c>
      <c r="P9" s="5">
        <v>348</v>
      </c>
      <c r="Q9" s="6">
        <v>44197</v>
      </c>
      <c r="T9" s="123">
        <f>J9</f>
        <v>38987474</v>
      </c>
    </row>
    <row r="10" spans="1:20" s="1" customFormat="1" ht="12">
      <c r="A10" s="136"/>
      <c r="F10" s="9"/>
      <c r="G10" s="9"/>
      <c r="H10" s="3"/>
      <c r="I10" s="3"/>
      <c r="J10" s="9"/>
      <c r="L10" s="9"/>
      <c r="M10" s="9"/>
    </row>
    <row r="11" spans="1:20" ht="12">
      <c r="F11" s="192">
        <f>SUM(F6:F10)</f>
        <v>100000000</v>
      </c>
      <c r="G11" s="192">
        <f>SUM(G6:G10)</f>
        <v>88987474</v>
      </c>
      <c r="H11" s="132"/>
      <c r="I11" s="151"/>
      <c r="J11" s="192">
        <f>SUM(J6:J10)</f>
        <v>88987474</v>
      </c>
      <c r="K11" s="132"/>
      <c r="L11" s="192">
        <f>SUM(L6:L10)</f>
        <v>0</v>
      </c>
      <c r="M11" s="192">
        <f>SUM(M6:M10)</f>
        <v>0</v>
      </c>
    </row>
    <row r="12" spans="1:20">
      <c r="H12" s="198"/>
      <c r="I12" s="198"/>
    </row>
    <row r="13" spans="1:20" ht="12" thickBot="1">
      <c r="G13" s="196"/>
      <c r="H13" s="198"/>
      <c r="I13" s="198"/>
    </row>
    <row r="14" spans="1:20" ht="12.6" thickBot="1">
      <c r="D14" s="194" t="s">
        <v>153</v>
      </c>
      <c r="E14" s="195"/>
      <c r="F14" s="433">
        <f>88987474-G11</f>
        <v>0</v>
      </c>
      <c r="G14" s="196"/>
      <c r="H14" s="410"/>
      <c r="I14" s="198"/>
      <c r="T14" s="322">
        <f>SUM(T8:T13)</f>
        <v>88987474</v>
      </c>
    </row>
    <row r="15" spans="1:20">
      <c r="F15" s="191"/>
      <c r="H15" s="198"/>
      <c r="I15" s="198"/>
    </row>
    <row r="16" spans="1:20" ht="12" thickBot="1"/>
    <row r="17" spans="1:20" ht="12" customHeight="1">
      <c r="A17" s="158"/>
      <c r="B17" s="158" t="s">
        <v>342</v>
      </c>
      <c r="C17" s="130"/>
      <c r="D17" s="130"/>
      <c r="E17" s="130"/>
      <c r="F17" s="180"/>
      <c r="G17" s="180"/>
      <c r="H17" s="180"/>
      <c r="I17" s="180"/>
      <c r="J17" s="180"/>
      <c r="K17" s="180"/>
      <c r="L17" s="180"/>
      <c r="M17" s="180"/>
      <c r="N17" s="279"/>
    </row>
    <row r="18" spans="1:20" ht="13.2">
      <c r="A18" s="152" t="s">
        <v>32</v>
      </c>
      <c r="B18" s="271" t="s">
        <v>37</v>
      </c>
      <c r="C18" s="272" t="s">
        <v>31</v>
      </c>
      <c r="D18" s="280" t="s">
        <v>49</v>
      </c>
      <c r="E18" s="280" t="s">
        <v>45</v>
      </c>
      <c r="F18" s="175" t="s">
        <v>84</v>
      </c>
      <c r="G18" s="175" t="s">
        <v>54</v>
      </c>
      <c r="H18" s="274"/>
      <c r="I18" s="274" t="s">
        <v>34</v>
      </c>
      <c r="J18" s="176" t="s">
        <v>87</v>
      </c>
      <c r="K18" s="274"/>
      <c r="L18" s="175" t="s">
        <v>92</v>
      </c>
      <c r="M18" s="275" t="s">
        <v>89</v>
      </c>
      <c r="N18" s="276" t="s">
        <v>22</v>
      </c>
    </row>
    <row r="19" spans="1:20" ht="13.2">
      <c r="A19" s="152" t="s">
        <v>48</v>
      </c>
      <c r="B19" s="277"/>
      <c r="C19" s="272"/>
      <c r="D19" s="280"/>
      <c r="E19" s="280"/>
      <c r="F19" s="175" t="s">
        <v>55</v>
      </c>
      <c r="G19" s="175" t="s">
        <v>55</v>
      </c>
      <c r="H19" s="274" t="s">
        <v>9</v>
      </c>
      <c r="I19" s="274" t="s">
        <v>18</v>
      </c>
      <c r="J19" s="176" t="s">
        <v>55</v>
      </c>
      <c r="K19" s="274" t="s">
        <v>18</v>
      </c>
      <c r="L19" s="175" t="s">
        <v>55</v>
      </c>
      <c r="M19" s="275" t="s">
        <v>90</v>
      </c>
      <c r="N19" s="276" t="s">
        <v>5</v>
      </c>
    </row>
    <row r="20" spans="1:20" ht="13.8" thickBot="1">
      <c r="A20" s="153" t="s">
        <v>17</v>
      </c>
      <c r="B20" s="154"/>
      <c r="C20" s="155"/>
      <c r="D20" s="157"/>
      <c r="E20" s="157"/>
      <c r="F20" s="177"/>
      <c r="G20" s="177"/>
      <c r="H20" s="178"/>
      <c r="I20" s="178"/>
      <c r="J20" s="181"/>
      <c r="K20" s="178"/>
      <c r="L20" s="177"/>
      <c r="M20" s="182" t="s">
        <v>93</v>
      </c>
      <c r="N20" s="278" t="s">
        <v>9</v>
      </c>
    </row>
    <row r="21" spans="1:20">
      <c r="A21" s="161" t="s">
        <v>56</v>
      </c>
    </row>
    <row r="22" spans="1:20" ht="12">
      <c r="A22" s="13">
        <v>5397</v>
      </c>
      <c r="B22" s="13" t="s">
        <v>77</v>
      </c>
      <c r="C22" s="13" t="s">
        <v>76</v>
      </c>
      <c r="D22" s="36" t="s">
        <v>233</v>
      </c>
      <c r="E22" s="36" t="s">
        <v>151</v>
      </c>
      <c r="F22" s="286">
        <v>437376821</v>
      </c>
      <c r="G22" s="9">
        <v>437376821</v>
      </c>
      <c r="H22" s="3">
        <v>44413</v>
      </c>
      <c r="I22" s="151">
        <v>44448</v>
      </c>
      <c r="J22" s="9">
        <v>437376821</v>
      </c>
      <c r="K22" s="151">
        <v>45656</v>
      </c>
      <c r="L22" s="27">
        <v>0</v>
      </c>
      <c r="M22" s="9">
        <f t="shared" ref="M22:M29" si="0">J22-L22</f>
        <v>437376821</v>
      </c>
      <c r="N22" s="151">
        <v>44617</v>
      </c>
      <c r="T22" s="412">
        <f t="shared" ref="T22:T29" si="1">M22</f>
        <v>437376821</v>
      </c>
    </row>
    <row r="23" spans="1:20" ht="12">
      <c r="A23" s="13">
        <v>5398</v>
      </c>
      <c r="B23" s="13" t="s">
        <v>77</v>
      </c>
      <c r="C23" s="13" t="s">
        <v>409</v>
      </c>
      <c r="D23" s="36" t="s">
        <v>233</v>
      </c>
      <c r="E23" s="36" t="s">
        <v>389</v>
      </c>
      <c r="F23" s="286">
        <v>12000000</v>
      </c>
      <c r="G23" s="9">
        <v>12000000</v>
      </c>
      <c r="H23" s="3">
        <v>44413</v>
      </c>
      <c r="I23" s="151">
        <v>44448</v>
      </c>
      <c r="J23" s="9">
        <v>12000000</v>
      </c>
      <c r="K23" s="151">
        <v>45656</v>
      </c>
      <c r="L23" s="27">
        <v>0</v>
      </c>
      <c r="M23" s="9">
        <f t="shared" si="0"/>
        <v>12000000</v>
      </c>
      <c r="N23" s="151">
        <v>44617</v>
      </c>
      <c r="T23" s="412">
        <f t="shared" si="1"/>
        <v>12000000</v>
      </c>
    </row>
    <row r="24" spans="1:20" ht="12">
      <c r="A24" s="13">
        <v>5399</v>
      </c>
      <c r="B24" s="13" t="s">
        <v>77</v>
      </c>
      <c r="C24" s="13" t="s">
        <v>408</v>
      </c>
      <c r="D24" s="36" t="s">
        <v>233</v>
      </c>
      <c r="E24" s="36" t="s">
        <v>390</v>
      </c>
      <c r="F24" s="286">
        <v>35000000</v>
      </c>
      <c r="G24" s="9">
        <v>35000000</v>
      </c>
      <c r="H24" s="3">
        <v>44413</v>
      </c>
      <c r="I24" s="151">
        <v>44448</v>
      </c>
      <c r="J24" s="9">
        <v>35000000</v>
      </c>
      <c r="K24" s="151">
        <v>45656</v>
      </c>
      <c r="L24" s="27">
        <v>0</v>
      </c>
      <c r="M24" s="9">
        <f t="shared" si="0"/>
        <v>35000000</v>
      </c>
      <c r="N24" s="151">
        <v>44617</v>
      </c>
      <c r="T24" s="412">
        <f t="shared" si="1"/>
        <v>35000000</v>
      </c>
    </row>
    <row r="25" spans="1:20" ht="12">
      <c r="A25" s="13">
        <v>5400</v>
      </c>
      <c r="B25" s="13" t="s">
        <v>77</v>
      </c>
      <c r="C25" s="13" t="s">
        <v>281</v>
      </c>
      <c r="D25" s="36" t="s">
        <v>233</v>
      </c>
      <c r="E25" s="36" t="s">
        <v>275</v>
      </c>
      <c r="F25" s="286">
        <v>45000000</v>
      </c>
      <c r="G25" s="9">
        <v>45000000</v>
      </c>
      <c r="H25" s="3">
        <v>44413</v>
      </c>
      <c r="I25" s="151">
        <v>44448</v>
      </c>
      <c r="J25" s="9">
        <v>45000000</v>
      </c>
      <c r="K25" s="151">
        <v>45656</v>
      </c>
      <c r="L25" s="27">
        <v>0</v>
      </c>
      <c r="M25" s="9">
        <f t="shared" si="0"/>
        <v>45000000</v>
      </c>
      <c r="N25" s="151">
        <v>44617</v>
      </c>
      <c r="T25" s="412">
        <f t="shared" si="1"/>
        <v>45000000</v>
      </c>
    </row>
    <row r="26" spans="1:20" ht="12">
      <c r="A26" s="13">
        <v>5401</v>
      </c>
      <c r="B26" s="13" t="s">
        <v>77</v>
      </c>
      <c r="C26" s="13" t="s">
        <v>289</v>
      </c>
      <c r="D26" s="36" t="s">
        <v>233</v>
      </c>
      <c r="E26" s="36" t="s">
        <v>78</v>
      </c>
      <c r="F26" s="286">
        <v>61000000</v>
      </c>
      <c r="G26" s="9">
        <v>61000000</v>
      </c>
      <c r="H26" s="3">
        <v>44413</v>
      </c>
      <c r="I26" s="151">
        <v>44448</v>
      </c>
      <c r="J26" s="9">
        <v>61000000</v>
      </c>
      <c r="K26" s="151">
        <v>45656</v>
      </c>
      <c r="L26" s="27">
        <v>0</v>
      </c>
      <c r="M26" s="9">
        <f t="shared" si="0"/>
        <v>61000000</v>
      </c>
      <c r="N26" s="151">
        <v>44617</v>
      </c>
      <c r="T26" s="412">
        <f t="shared" si="1"/>
        <v>61000000</v>
      </c>
    </row>
    <row r="27" spans="1:20" ht="12">
      <c r="A27" s="13">
        <v>5402</v>
      </c>
      <c r="B27" s="13" t="s">
        <v>77</v>
      </c>
      <c r="C27" s="13" t="s">
        <v>340</v>
      </c>
      <c r="D27" s="36" t="s">
        <v>233</v>
      </c>
      <c r="E27" s="36" t="s">
        <v>166</v>
      </c>
      <c r="F27" s="286">
        <v>4000000</v>
      </c>
      <c r="G27" s="9">
        <v>4000000</v>
      </c>
      <c r="H27" s="3">
        <v>44413</v>
      </c>
      <c r="I27" s="151">
        <v>44448</v>
      </c>
      <c r="J27" s="9">
        <v>4000000</v>
      </c>
      <c r="K27" s="151">
        <v>45656</v>
      </c>
      <c r="L27" s="27">
        <v>0</v>
      </c>
      <c r="M27" s="9">
        <f t="shared" si="0"/>
        <v>4000000</v>
      </c>
      <c r="N27" s="151">
        <v>44617</v>
      </c>
      <c r="T27" s="412">
        <f t="shared" si="1"/>
        <v>4000000</v>
      </c>
    </row>
    <row r="28" spans="1:20" ht="12">
      <c r="A28" s="13">
        <v>5403</v>
      </c>
      <c r="B28" s="13" t="s">
        <v>77</v>
      </c>
      <c r="C28" s="13" t="s">
        <v>279</v>
      </c>
      <c r="D28" s="36" t="s">
        <v>233</v>
      </c>
      <c r="E28" s="36" t="s">
        <v>164</v>
      </c>
      <c r="F28" s="286">
        <v>10000000</v>
      </c>
      <c r="G28" s="9">
        <v>10000000</v>
      </c>
      <c r="H28" s="3">
        <v>44413</v>
      </c>
      <c r="I28" s="151">
        <v>44448</v>
      </c>
      <c r="J28" s="9">
        <v>10000000</v>
      </c>
      <c r="K28" s="151">
        <v>45656</v>
      </c>
      <c r="L28" s="27">
        <v>0</v>
      </c>
      <c r="M28" s="9">
        <f t="shared" si="0"/>
        <v>10000000</v>
      </c>
      <c r="N28" s="151">
        <v>44617</v>
      </c>
      <c r="T28" s="412">
        <f t="shared" si="1"/>
        <v>10000000</v>
      </c>
    </row>
    <row r="29" spans="1:20" ht="12">
      <c r="A29" s="13">
        <v>5404</v>
      </c>
      <c r="B29" s="13" t="s">
        <v>77</v>
      </c>
      <c r="C29" s="13" t="s">
        <v>412</v>
      </c>
      <c r="D29" s="36" t="s">
        <v>233</v>
      </c>
      <c r="E29" s="36" t="s">
        <v>80</v>
      </c>
      <c r="F29" s="286">
        <v>65000000</v>
      </c>
      <c r="G29" s="9">
        <v>65000000</v>
      </c>
      <c r="H29" s="3">
        <v>44413</v>
      </c>
      <c r="I29" s="151">
        <v>44448</v>
      </c>
      <c r="J29" s="9">
        <v>65000000</v>
      </c>
      <c r="K29" s="151">
        <v>45656</v>
      </c>
      <c r="L29" s="27">
        <v>0</v>
      </c>
      <c r="M29" s="9">
        <f t="shared" si="0"/>
        <v>65000000</v>
      </c>
      <c r="N29" s="151">
        <v>44617</v>
      </c>
      <c r="T29" s="412">
        <f t="shared" si="1"/>
        <v>65000000</v>
      </c>
    </row>
    <row r="30" spans="1:20" ht="12">
      <c r="A30" s="13">
        <v>5405</v>
      </c>
      <c r="B30" s="13" t="s">
        <v>77</v>
      </c>
      <c r="C30" s="13" t="s">
        <v>149</v>
      </c>
      <c r="D30" s="36" t="s">
        <v>276</v>
      </c>
      <c r="E30" s="36" t="s">
        <v>151</v>
      </c>
      <c r="F30" s="286">
        <v>131186809</v>
      </c>
      <c r="G30" s="9">
        <v>131186809</v>
      </c>
      <c r="H30" s="3">
        <v>44413</v>
      </c>
      <c r="I30" s="151">
        <v>44448</v>
      </c>
      <c r="J30" s="9">
        <v>131186809</v>
      </c>
      <c r="K30" s="151">
        <v>45656</v>
      </c>
      <c r="L30" s="27">
        <v>0</v>
      </c>
      <c r="M30" s="9">
        <f>J30-L30</f>
        <v>131186809</v>
      </c>
      <c r="N30" s="151">
        <v>44595</v>
      </c>
      <c r="T30" s="412">
        <f>M30</f>
        <v>131186809</v>
      </c>
    </row>
    <row r="31" spans="1:20" ht="12">
      <c r="A31" s="13">
        <v>5406</v>
      </c>
      <c r="B31" s="13" t="s">
        <v>77</v>
      </c>
      <c r="C31" s="13" t="s">
        <v>283</v>
      </c>
      <c r="D31" s="36" t="s">
        <v>233</v>
      </c>
      <c r="E31" s="36" t="s">
        <v>228</v>
      </c>
      <c r="F31" s="286">
        <v>62000000</v>
      </c>
      <c r="G31" s="9">
        <v>62000000</v>
      </c>
      <c r="H31" s="3">
        <v>44413</v>
      </c>
      <c r="I31" s="151">
        <v>44448</v>
      </c>
      <c r="J31" s="9">
        <v>62000000</v>
      </c>
      <c r="K31" s="151">
        <v>45656</v>
      </c>
      <c r="L31" s="27">
        <v>0</v>
      </c>
      <c r="M31" s="9">
        <f t="shared" ref="M31:M33" si="2">J31-L31</f>
        <v>62000000</v>
      </c>
      <c r="N31" s="151">
        <v>44617</v>
      </c>
      <c r="T31" s="412">
        <f t="shared" ref="T31:T33" si="3">M31</f>
        <v>62000000</v>
      </c>
    </row>
    <row r="32" spans="1:20" ht="12">
      <c r="A32" s="13">
        <v>5407</v>
      </c>
      <c r="B32" s="13" t="s">
        <v>77</v>
      </c>
      <c r="C32" s="13" t="s">
        <v>287</v>
      </c>
      <c r="D32" s="36" t="s">
        <v>233</v>
      </c>
      <c r="E32" s="36" t="s">
        <v>277</v>
      </c>
      <c r="F32" s="286">
        <v>10000000</v>
      </c>
      <c r="G32" s="9">
        <v>10000000</v>
      </c>
      <c r="H32" s="3">
        <v>44413</v>
      </c>
      <c r="I32" s="151">
        <v>44448</v>
      </c>
      <c r="J32" s="9">
        <v>10000000</v>
      </c>
      <c r="K32" s="151">
        <v>45656</v>
      </c>
      <c r="L32" s="27">
        <v>0</v>
      </c>
      <c r="M32" s="9">
        <f t="shared" si="2"/>
        <v>10000000</v>
      </c>
      <c r="N32" s="151">
        <v>44617</v>
      </c>
      <c r="T32" s="412">
        <f t="shared" si="3"/>
        <v>10000000</v>
      </c>
    </row>
    <row r="33" spans="1:20" ht="12">
      <c r="A33" s="13">
        <v>5408</v>
      </c>
      <c r="B33" s="13" t="s">
        <v>77</v>
      </c>
      <c r="C33" s="13" t="s">
        <v>280</v>
      </c>
      <c r="D33" s="36" t="s">
        <v>233</v>
      </c>
      <c r="E33" s="36" t="s">
        <v>278</v>
      </c>
      <c r="F33" s="286">
        <v>10000000</v>
      </c>
      <c r="G33" s="9">
        <v>10000000</v>
      </c>
      <c r="H33" s="3">
        <v>44413</v>
      </c>
      <c r="I33" s="151">
        <v>44448</v>
      </c>
      <c r="J33" s="9">
        <v>10000000</v>
      </c>
      <c r="K33" s="151">
        <v>45656</v>
      </c>
      <c r="L33" s="27">
        <v>0</v>
      </c>
      <c r="M33" s="9">
        <f t="shared" si="2"/>
        <v>10000000</v>
      </c>
      <c r="N33" s="151">
        <v>44617</v>
      </c>
      <c r="T33" s="412">
        <f t="shared" si="3"/>
        <v>10000000</v>
      </c>
    </row>
    <row r="34" spans="1:20" ht="12">
      <c r="A34" s="13">
        <v>5409</v>
      </c>
      <c r="B34" s="13" t="s">
        <v>316</v>
      </c>
      <c r="C34" s="13" t="s">
        <v>391</v>
      </c>
      <c r="D34" s="36" t="s">
        <v>233</v>
      </c>
      <c r="E34" s="36" t="s">
        <v>392</v>
      </c>
      <c r="F34" s="286">
        <v>30000000</v>
      </c>
      <c r="G34" s="9">
        <v>30000000</v>
      </c>
      <c r="H34" s="3">
        <v>44413</v>
      </c>
      <c r="I34" s="151">
        <v>44448</v>
      </c>
      <c r="J34" s="9">
        <v>0</v>
      </c>
      <c r="K34" s="151">
        <v>44623</v>
      </c>
      <c r="L34" s="286"/>
      <c r="M34" s="9">
        <f>J34-L34</f>
        <v>0</v>
      </c>
      <c r="N34" s="151">
        <v>44623</v>
      </c>
      <c r="O34" s="444" t="s">
        <v>599</v>
      </c>
      <c r="T34" s="408">
        <v>0</v>
      </c>
    </row>
    <row r="35" spans="1:20" ht="12">
      <c r="A35" s="13">
        <v>5410</v>
      </c>
      <c r="B35" s="13" t="s">
        <v>77</v>
      </c>
      <c r="C35" s="13" t="s">
        <v>410</v>
      </c>
      <c r="D35" s="36" t="s">
        <v>233</v>
      </c>
      <c r="E35" s="36" t="s">
        <v>392</v>
      </c>
      <c r="F35" s="286">
        <v>60000000</v>
      </c>
      <c r="G35" s="9">
        <v>60000000</v>
      </c>
      <c r="H35" s="3">
        <v>44413</v>
      </c>
      <c r="I35" s="151">
        <v>44448</v>
      </c>
      <c r="J35" s="9">
        <v>60000000</v>
      </c>
      <c r="K35" s="151">
        <v>45656</v>
      </c>
      <c r="L35" s="27">
        <v>0</v>
      </c>
      <c r="M35" s="9">
        <f>J35-L35</f>
        <v>60000000</v>
      </c>
      <c r="N35" s="151">
        <v>44617</v>
      </c>
      <c r="O35" s="444"/>
      <c r="T35" s="412">
        <f>M35</f>
        <v>60000000</v>
      </c>
    </row>
    <row r="36" spans="1:20" ht="12">
      <c r="A36" s="13">
        <v>5411</v>
      </c>
      <c r="B36" s="13" t="s">
        <v>77</v>
      </c>
      <c r="C36" s="13" t="s">
        <v>149</v>
      </c>
      <c r="D36" s="36" t="s">
        <v>276</v>
      </c>
      <c r="E36" s="36" t="s">
        <v>151</v>
      </c>
      <c r="F36" s="286">
        <v>350000000</v>
      </c>
      <c r="G36" s="9">
        <v>350000000</v>
      </c>
      <c r="H36" s="3">
        <v>44418</v>
      </c>
      <c r="I36" s="151">
        <v>44453</v>
      </c>
      <c r="J36" s="9">
        <v>350000000</v>
      </c>
      <c r="K36" s="151">
        <v>45656</v>
      </c>
      <c r="L36" s="27">
        <v>0</v>
      </c>
      <c r="M36" s="9">
        <f>J36-L36</f>
        <v>350000000</v>
      </c>
      <c r="N36" s="151">
        <v>44595</v>
      </c>
      <c r="T36" s="412">
        <f>M36</f>
        <v>350000000</v>
      </c>
    </row>
    <row r="37" spans="1:20" ht="12">
      <c r="A37" s="13">
        <v>5448</v>
      </c>
      <c r="B37" s="13" t="s">
        <v>77</v>
      </c>
      <c r="C37" s="13" t="s">
        <v>76</v>
      </c>
      <c r="D37" s="36" t="s">
        <v>233</v>
      </c>
      <c r="E37" s="36" t="s">
        <v>151</v>
      </c>
      <c r="F37" s="286">
        <v>369304460</v>
      </c>
      <c r="G37" s="9">
        <v>369304460</v>
      </c>
      <c r="H37" s="3">
        <v>44464</v>
      </c>
      <c r="I37" s="151">
        <v>44499</v>
      </c>
      <c r="J37" s="9">
        <v>369304460</v>
      </c>
      <c r="K37" s="151">
        <v>45656</v>
      </c>
      <c r="L37" s="27">
        <v>0</v>
      </c>
      <c r="M37" s="9">
        <f>J37-L37</f>
        <v>369304460</v>
      </c>
      <c r="N37" s="151">
        <v>44617</v>
      </c>
      <c r="T37" s="412">
        <f>M37</f>
        <v>369304460</v>
      </c>
    </row>
    <row r="38" spans="1:20" s="185" customFormat="1" ht="12">
      <c r="A38" s="5">
        <v>5449</v>
      </c>
      <c r="B38" s="5" t="s">
        <v>77</v>
      </c>
      <c r="C38" s="5" t="s">
        <v>395</v>
      </c>
      <c r="D38" s="26" t="s">
        <v>276</v>
      </c>
      <c r="E38" s="26" t="s">
        <v>396</v>
      </c>
      <c r="F38" s="341">
        <v>25000000</v>
      </c>
      <c r="G38" s="123">
        <v>25000000</v>
      </c>
      <c r="H38" s="7">
        <v>44481</v>
      </c>
      <c r="I38" s="183">
        <v>44516</v>
      </c>
      <c r="J38" s="123">
        <v>25000000</v>
      </c>
      <c r="K38" s="183">
        <v>44691</v>
      </c>
      <c r="L38" s="32">
        <v>0</v>
      </c>
      <c r="M38" s="123">
        <f>J38-L38</f>
        <v>25000000</v>
      </c>
      <c r="N38" s="183">
        <v>44530</v>
      </c>
      <c r="T38" s="62">
        <f>M38</f>
        <v>25000000</v>
      </c>
    </row>
    <row r="39" spans="1:20" ht="12">
      <c r="A39" s="13">
        <v>5452</v>
      </c>
      <c r="B39" s="13" t="s">
        <v>316</v>
      </c>
      <c r="C39" s="13" t="s">
        <v>76</v>
      </c>
      <c r="D39" s="36" t="s">
        <v>404</v>
      </c>
      <c r="E39" s="36" t="s">
        <v>151</v>
      </c>
      <c r="F39" s="286">
        <v>250000000</v>
      </c>
      <c r="G39" s="9">
        <v>250000000</v>
      </c>
      <c r="H39" s="3">
        <v>44512</v>
      </c>
      <c r="I39" s="151">
        <v>44547</v>
      </c>
      <c r="J39" s="9">
        <v>0</v>
      </c>
      <c r="K39" s="151">
        <v>44722</v>
      </c>
      <c r="L39" s="286">
        <v>0</v>
      </c>
      <c r="M39" s="9">
        <f t="shared" ref="M39:M40" si="4">J39-L39</f>
        <v>0</v>
      </c>
      <c r="N39" s="151">
        <v>44610</v>
      </c>
      <c r="O39" s="444" t="s">
        <v>574</v>
      </c>
      <c r="T39" s="408">
        <v>0</v>
      </c>
    </row>
    <row r="40" spans="1:20" ht="12">
      <c r="A40" s="13">
        <v>5453</v>
      </c>
      <c r="B40" s="13" t="s">
        <v>316</v>
      </c>
      <c r="C40" s="13" t="s">
        <v>76</v>
      </c>
      <c r="D40" s="36" t="s">
        <v>234</v>
      </c>
      <c r="E40" s="36" t="s">
        <v>151</v>
      </c>
      <c r="F40" s="286">
        <v>250000000</v>
      </c>
      <c r="G40" s="9">
        <v>250000000</v>
      </c>
      <c r="H40" s="3">
        <v>44512</v>
      </c>
      <c r="I40" s="151">
        <v>44547</v>
      </c>
      <c r="J40" s="9">
        <v>0</v>
      </c>
      <c r="K40" s="151">
        <v>44722</v>
      </c>
      <c r="L40" s="286">
        <v>0</v>
      </c>
      <c r="M40" s="9">
        <f t="shared" si="4"/>
        <v>0</v>
      </c>
      <c r="N40" s="151">
        <v>44576</v>
      </c>
      <c r="O40" s="444" t="s">
        <v>518</v>
      </c>
      <c r="T40" s="408">
        <v>0</v>
      </c>
    </row>
    <row r="41" spans="1:20" ht="12">
      <c r="A41" s="13">
        <v>5454</v>
      </c>
      <c r="B41" s="13" t="s">
        <v>77</v>
      </c>
      <c r="C41" s="13" t="s">
        <v>149</v>
      </c>
      <c r="D41" s="36" t="s">
        <v>276</v>
      </c>
      <c r="E41" s="36" t="s">
        <v>151</v>
      </c>
      <c r="F41" s="286">
        <v>69287675.25</v>
      </c>
      <c r="G41" s="9">
        <v>69287675.25</v>
      </c>
      <c r="H41" s="3">
        <v>44512</v>
      </c>
      <c r="I41" s="151">
        <v>44547</v>
      </c>
      <c r="J41" s="9">
        <v>69287675.25</v>
      </c>
      <c r="K41" s="151">
        <v>45656</v>
      </c>
      <c r="L41" s="27">
        <v>0</v>
      </c>
      <c r="M41" s="9">
        <f>J41</f>
        <v>69287675.25</v>
      </c>
      <c r="N41" s="151">
        <v>44595</v>
      </c>
      <c r="T41" s="412">
        <f>M41</f>
        <v>69287675.25</v>
      </c>
    </row>
    <row r="42" spans="1:20" s="185" customFormat="1" ht="12">
      <c r="A42" s="5"/>
      <c r="B42" s="5"/>
      <c r="C42" s="5"/>
      <c r="D42" s="26"/>
      <c r="E42" s="26"/>
      <c r="F42" s="341"/>
      <c r="G42" s="123"/>
      <c r="H42" s="7"/>
      <c r="I42" s="183"/>
      <c r="J42" s="123"/>
      <c r="K42" s="183"/>
      <c r="L42" s="32"/>
      <c r="M42" s="123"/>
      <c r="N42" s="183"/>
      <c r="T42" s="62"/>
    </row>
    <row r="43" spans="1:20" ht="12">
      <c r="F43" s="449"/>
      <c r="G43" s="501">
        <f>G39*0.00025/3*2</f>
        <v>41666.666666666664</v>
      </c>
      <c r="H43" s="184"/>
      <c r="I43" s="184"/>
      <c r="J43" s="192">
        <f>SUM(J22:J41)</f>
        <v>1756155765.25</v>
      </c>
      <c r="K43" s="402"/>
      <c r="L43" s="192">
        <f>SUM(L22:L41)</f>
        <v>0</v>
      </c>
      <c r="M43" s="192">
        <f>SUM(M22:M41)</f>
        <v>1756155765.25</v>
      </c>
      <c r="N43" s="151"/>
      <c r="T43" s="322">
        <f>SUM(T21:T42)</f>
        <v>1756155765.25</v>
      </c>
    </row>
    <row r="44" spans="1:20" ht="12.6" thickBot="1">
      <c r="F44" s="501"/>
      <c r="G44" s="501"/>
      <c r="H44" s="184"/>
      <c r="I44" s="184"/>
      <c r="J44" s="184"/>
      <c r="K44" s="184"/>
      <c r="L44" s="447"/>
      <c r="N44" s="151"/>
      <c r="T44" s="191"/>
    </row>
    <row r="45" spans="1:20" ht="12">
      <c r="A45" s="168" t="s">
        <v>94</v>
      </c>
      <c r="F45" s="501"/>
      <c r="G45" s="187"/>
      <c r="H45" s="151"/>
      <c r="I45" s="184"/>
      <c r="J45" s="451"/>
      <c r="K45" s="287"/>
      <c r="M45" s="196"/>
      <c r="N45" s="151"/>
    </row>
    <row r="46" spans="1:20" ht="12">
      <c r="A46" s="13">
        <v>5387</v>
      </c>
      <c r="B46" s="13" t="s">
        <v>77</v>
      </c>
      <c r="C46" s="13" t="s">
        <v>383</v>
      </c>
      <c r="D46" s="36" t="s">
        <v>94</v>
      </c>
      <c r="E46" s="36" t="s">
        <v>384</v>
      </c>
      <c r="F46" s="286">
        <v>35000000</v>
      </c>
      <c r="G46" s="9">
        <v>35000000</v>
      </c>
      <c r="H46" s="3">
        <v>44390</v>
      </c>
      <c r="I46" s="151">
        <v>44425</v>
      </c>
      <c r="J46" s="9">
        <v>35000000</v>
      </c>
      <c r="K46" s="151">
        <v>44925</v>
      </c>
      <c r="L46" s="27">
        <v>0</v>
      </c>
      <c r="M46" s="9">
        <f>J46-L46</f>
        <v>35000000</v>
      </c>
      <c r="N46" s="151">
        <v>44593</v>
      </c>
      <c r="T46" s="412">
        <f t="shared" ref="T46:T54" si="5">M46</f>
        <v>35000000</v>
      </c>
    </row>
    <row r="47" spans="1:20" ht="11.4" customHeight="1">
      <c r="A47" s="13">
        <v>5388</v>
      </c>
      <c r="B47" s="13" t="s">
        <v>316</v>
      </c>
      <c r="C47" s="13" t="s">
        <v>152</v>
      </c>
      <c r="D47" s="36" t="s">
        <v>358</v>
      </c>
      <c r="E47" s="36" t="s">
        <v>81</v>
      </c>
      <c r="F47" s="286">
        <v>50000000</v>
      </c>
      <c r="G47" s="9">
        <v>50000000</v>
      </c>
      <c r="H47" s="3">
        <v>44401</v>
      </c>
      <c r="I47" s="151">
        <v>44436</v>
      </c>
      <c r="J47" s="9">
        <v>50000000</v>
      </c>
      <c r="K47" s="151">
        <v>44581</v>
      </c>
      <c r="L47" s="286">
        <v>50000000</v>
      </c>
      <c r="M47" s="9">
        <f t="shared" ref="M47:M85" si="6">J47-L47</f>
        <v>0</v>
      </c>
      <c r="N47" s="151">
        <v>44586</v>
      </c>
      <c r="T47" s="408">
        <f t="shared" si="5"/>
        <v>0</v>
      </c>
    </row>
    <row r="48" spans="1:20" ht="12">
      <c r="A48" s="13">
        <v>5389</v>
      </c>
      <c r="B48" s="13" t="s">
        <v>77</v>
      </c>
      <c r="C48" s="13" t="s">
        <v>371</v>
      </c>
      <c r="D48" s="36" t="s">
        <v>94</v>
      </c>
      <c r="E48" s="36" t="s">
        <v>81</v>
      </c>
      <c r="F48" s="286">
        <v>30000000</v>
      </c>
      <c r="G48" s="9">
        <v>30000000</v>
      </c>
      <c r="H48" s="3">
        <v>44401</v>
      </c>
      <c r="I48" s="151">
        <v>44436</v>
      </c>
      <c r="J48" s="9">
        <v>30000000</v>
      </c>
      <c r="K48" s="151">
        <v>45656</v>
      </c>
      <c r="L48" s="286">
        <v>20000000</v>
      </c>
      <c r="M48" s="9">
        <f t="shared" ref="M48:M54" si="7">J48-L48</f>
        <v>10000000</v>
      </c>
      <c r="N48" s="151">
        <v>44625</v>
      </c>
      <c r="O48" s="340" t="s">
        <v>604</v>
      </c>
      <c r="T48" s="408">
        <f t="shared" si="5"/>
        <v>10000000</v>
      </c>
    </row>
    <row r="49" spans="1:20" ht="12">
      <c r="A49" s="13">
        <v>5390</v>
      </c>
      <c r="B49" s="13" t="s">
        <v>77</v>
      </c>
      <c r="C49" s="13" t="s">
        <v>354</v>
      </c>
      <c r="D49" s="36" t="s">
        <v>94</v>
      </c>
      <c r="E49" s="36" t="s">
        <v>356</v>
      </c>
      <c r="F49" s="286">
        <v>13500000</v>
      </c>
      <c r="G49" s="9">
        <v>13500000</v>
      </c>
      <c r="H49" s="3">
        <v>44401</v>
      </c>
      <c r="I49" s="151">
        <v>44436</v>
      </c>
      <c r="J49" s="9">
        <v>13500000</v>
      </c>
      <c r="K49" s="151">
        <v>45656</v>
      </c>
      <c r="L49" s="346">
        <v>13500000</v>
      </c>
      <c r="M49" s="496">
        <f t="shared" si="7"/>
        <v>0</v>
      </c>
      <c r="N49" s="497">
        <v>44581</v>
      </c>
      <c r="O49" s="498" t="s">
        <v>519</v>
      </c>
      <c r="T49" s="408">
        <f t="shared" si="5"/>
        <v>0</v>
      </c>
    </row>
    <row r="50" spans="1:20" ht="12">
      <c r="A50" s="13">
        <v>5391</v>
      </c>
      <c r="B50" s="13" t="s">
        <v>77</v>
      </c>
      <c r="C50" s="13" t="s">
        <v>152</v>
      </c>
      <c r="D50" s="36" t="s">
        <v>94</v>
      </c>
      <c r="E50" s="36" t="s">
        <v>81</v>
      </c>
      <c r="F50" s="286">
        <v>45000000</v>
      </c>
      <c r="G50" s="9">
        <v>45000000</v>
      </c>
      <c r="H50" s="3">
        <v>44401</v>
      </c>
      <c r="I50" s="151">
        <v>44436</v>
      </c>
      <c r="J50" s="9">
        <v>45000000</v>
      </c>
      <c r="K50" s="151">
        <v>45656</v>
      </c>
      <c r="L50" s="346">
        <f>12000000+30000000</f>
        <v>42000000</v>
      </c>
      <c r="M50" s="496">
        <f t="shared" si="7"/>
        <v>3000000</v>
      </c>
      <c r="N50" s="497">
        <v>44623</v>
      </c>
      <c r="O50" s="340" t="s">
        <v>595</v>
      </c>
      <c r="P50" s="498" t="s">
        <v>596</v>
      </c>
      <c r="T50" s="408">
        <f t="shared" si="5"/>
        <v>3000000</v>
      </c>
    </row>
    <row r="51" spans="1:20" ht="12">
      <c r="A51" s="13">
        <v>5392</v>
      </c>
      <c r="B51" s="13" t="s">
        <v>77</v>
      </c>
      <c r="C51" s="13" t="s">
        <v>252</v>
      </c>
      <c r="D51" s="36" t="s">
        <v>94</v>
      </c>
      <c r="E51" s="36" t="s">
        <v>80</v>
      </c>
      <c r="F51" s="286">
        <v>20000000</v>
      </c>
      <c r="G51" s="9">
        <v>20000000</v>
      </c>
      <c r="H51" s="3">
        <v>44401</v>
      </c>
      <c r="I51" s="151">
        <v>44436</v>
      </c>
      <c r="J51" s="9">
        <v>20000000</v>
      </c>
      <c r="K51" s="151">
        <v>45656</v>
      </c>
      <c r="L51" s="27">
        <v>0</v>
      </c>
      <c r="M51" s="9">
        <f t="shared" si="7"/>
        <v>20000000</v>
      </c>
      <c r="N51" s="151">
        <v>44574</v>
      </c>
      <c r="P51" s="196"/>
      <c r="T51" s="412">
        <f>M51</f>
        <v>20000000</v>
      </c>
    </row>
    <row r="52" spans="1:20" ht="12">
      <c r="A52" s="13">
        <v>5393</v>
      </c>
      <c r="B52" s="13" t="s">
        <v>77</v>
      </c>
      <c r="C52" s="13" t="s">
        <v>374</v>
      </c>
      <c r="D52" s="36" t="s">
        <v>94</v>
      </c>
      <c r="E52" s="36" t="s">
        <v>376</v>
      </c>
      <c r="F52" s="286">
        <v>37000000</v>
      </c>
      <c r="G52" s="9">
        <v>37000000</v>
      </c>
      <c r="H52" s="3">
        <v>44404</v>
      </c>
      <c r="I52" s="151">
        <v>44439</v>
      </c>
      <c r="J52" s="9">
        <v>37000000</v>
      </c>
      <c r="K52" s="151">
        <v>45656</v>
      </c>
      <c r="L52" s="346">
        <v>37000000</v>
      </c>
      <c r="M52" s="496">
        <f t="shared" si="7"/>
        <v>0</v>
      </c>
      <c r="N52" s="497">
        <v>44594</v>
      </c>
      <c r="O52" s="498" t="s">
        <v>537</v>
      </c>
      <c r="T52" s="408">
        <f>M52</f>
        <v>0</v>
      </c>
    </row>
    <row r="53" spans="1:20" ht="12">
      <c r="A53" s="13">
        <v>5394</v>
      </c>
      <c r="B53" s="13" t="s">
        <v>77</v>
      </c>
      <c r="C53" s="13" t="s">
        <v>251</v>
      </c>
      <c r="D53" s="36" t="s">
        <v>94</v>
      </c>
      <c r="E53" s="36" t="s">
        <v>327</v>
      </c>
      <c r="F53" s="286">
        <v>22500000</v>
      </c>
      <c r="G53" s="9">
        <v>22500000</v>
      </c>
      <c r="H53" s="3">
        <v>44404</v>
      </c>
      <c r="I53" s="151">
        <v>44439</v>
      </c>
      <c r="J53" s="9">
        <v>22500000</v>
      </c>
      <c r="K53" s="151">
        <v>45656</v>
      </c>
      <c r="L53" s="27">
        <v>18740000</v>
      </c>
      <c r="M53" s="9">
        <f t="shared" si="7"/>
        <v>3760000</v>
      </c>
      <c r="N53" s="151">
        <v>44622</v>
      </c>
      <c r="O53" s="12" t="s">
        <v>590</v>
      </c>
      <c r="T53" s="412">
        <f t="shared" si="5"/>
        <v>3760000</v>
      </c>
    </row>
    <row r="54" spans="1:20" ht="12">
      <c r="A54" s="13">
        <v>5395</v>
      </c>
      <c r="B54" s="13" t="s">
        <v>316</v>
      </c>
      <c r="C54" s="13" t="s">
        <v>249</v>
      </c>
      <c r="D54" s="36" t="s">
        <v>378</v>
      </c>
      <c r="E54" s="36" t="s">
        <v>78</v>
      </c>
      <c r="F54" s="286">
        <v>38000000</v>
      </c>
      <c r="G54" s="9">
        <v>38000000</v>
      </c>
      <c r="H54" s="3">
        <v>44404</v>
      </c>
      <c r="I54" s="151">
        <v>44439</v>
      </c>
      <c r="J54" s="9">
        <v>38000000</v>
      </c>
      <c r="K54" s="151">
        <v>44584</v>
      </c>
      <c r="L54" s="286">
        <v>38000000</v>
      </c>
      <c r="M54" s="9">
        <f t="shared" si="7"/>
        <v>0</v>
      </c>
      <c r="N54" s="151">
        <v>44595</v>
      </c>
      <c r="T54" s="408">
        <f t="shared" si="5"/>
        <v>0</v>
      </c>
    </row>
    <row r="55" spans="1:20" ht="12">
      <c r="A55" s="13">
        <v>5412</v>
      </c>
      <c r="B55" s="13" t="s">
        <v>77</v>
      </c>
      <c r="C55" s="13" t="s">
        <v>149</v>
      </c>
      <c r="D55" s="36" t="s">
        <v>94</v>
      </c>
      <c r="E55" s="36" t="s">
        <v>79</v>
      </c>
      <c r="F55" s="286">
        <v>16500000</v>
      </c>
      <c r="G55" s="9">
        <v>16500000</v>
      </c>
      <c r="H55" s="3">
        <v>44418</v>
      </c>
      <c r="I55" s="151">
        <v>44453</v>
      </c>
      <c r="J55" s="9">
        <v>16500000</v>
      </c>
      <c r="K55" s="151">
        <v>45656</v>
      </c>
      <c r="L55" s="346">
        <v>16500000</v>
      </c>
      <c r="M55" s="496">
        <f t="shared" si="6"/>
        <v>0</v>
      </c>
      <c r="N55" s="497">
        <v>44572</v>
      </c>
      <c r="O55" s="498" t="s">
        <v>508</v>
      </c>
      <c r="T55" s="408">
        <f t="shared" ref="T55:T62" si="8">M55</f>
        <v>0</v>
      </c>
    </row>
    <row r="56" spans="1:20" ht="12">
      <c r="A56" s="13">
        <v>5413</v>
      </c>
      <c r="B56" s="13" t="s">
        <v>77</v>
      </c>
      <c r="C56" s="13" t="s">
        <v>286</v>
      </c>
      <c r="D56" s="36" t="s">
        <v>94</v>
      </c>
      <c r="E56" s="36" t="s">
        <v>80</v>
      </c>
      <c r="F56" s="286">
        <v>30000000</v>
      </c>
      <c r="G56" s="9">
        <v>30000000</v>
      </c>
      <c r="H56" s="3">
        <v>44418</v>
      </c>
      <c r="I56" s="151">
        <v>44453</v>
      </c>
      <c r="J56" s="9">
        <v>30000000</v>
      </c>
      <c r="K56" s="151">
        <v>45656</v>
      </c>
      <c r="L56" s="346">
        <v>30000000</v>
      </c>
      <c r="M56" s="496">
        <f t="shared" si="6"/>
        <v>0</v>
      </c>
      <c r="N56" s="497">
        <v>44603</v>
      </c>
      <c r="O56" s="498" t="s">
        <v>564</v>
      </c>
      <c r="T56" s="408">
        <f t="shared" si="8"/>
        <v>0</v>
      </c>
    </row>
    <row r="57" spans="1:20" ht="12">
      <c r="A57" s="13">
        <v>5414</v>
      </c>
      <c r="B57" s="13" t="s">
        <v>77</v>
      </c>
      <c r="C57" s="13" t="s">
        <v>286</v>
      </c>
      <c r="D57" s="36" t="s">
        <v>94</v>
      </c>
      <c r="E57" s="36" t="s">
        <v>80</v>
      </c>
      <c r="F57" s="286">
        <v>20000000</v>
      </c>
      <c r="G57" s="9">
        <v>20000000</v>
      </c>
      <c r="H57" s="3">
        <v>44418</v>
      </c>
      <c r="I57" s="151">
        <v>44453</v>
      </c>
      <c r="J57" s="9">
        <v>20000000</v>
      </c>
      <c r="K57" s="151">
        <v>45656</v>
      </c>
      <c r="L57" s="504">
        <v>20000000</v>
      </c>
      <c r="M57" s="496">
        <f t="shared" ref="M57:M58" si="9">J57-L57</f>
        <v>0</v>
      </c>
      <c r="N57" s="497">
        <v>44611</v>
      </c>
      <c r="O57" s="498" t="s">
        <v>579</v>
      </c>
      <c r="T57" s="412">
        <f>M57</f>
        <v>0</v>
      </c>
    </row>
    <row r="58" spans="1:20" ht="12">
      <c r="A58" s="13">
        <v>5415</v>
      </c>
      <c r="B58" s="13" t="s">
        <v>77</v>
      </c>
      <c r="C58" s="13" t="s">
        <v>286</v>
      </c>
      <c r="D58" s="36" t="s">
        <v>94</v>
      </c>
      <c r="E58" s="36" t="s">
        <v>80</v>
      </c>
      <c r="F58" s="286">
        <v>20000000</v>
      </c>
      <c r="G58" s="9">
        <v>20000000</v>
      </c>
      <c r="H58" s="3">
        <v>44418</v>
      </c>
      <c r="I58" s="151">
        <v>44453</v>
      </c>
      <c r="J58" s="9">
        <v>20000000</v>
      </c>
      <c r="K58" s="151">
        <v>45656</v>
      </c>
      <c r="L58" s="346">
        <v>20000000</v>
      </c>
      <c r="M58" s="496">
        <f t="shared" si="9"/>
        <v>0</v>
      </c>
      <c r="N58" s="497">
        <v>44611</v>
      </c>
      <c r="O58" s="498" t="s">
        <v>580</v>
      </c>
      <c r="T58" s="408">
        <f>M58</f>
        <v>0</v>
      </c>
    </row>
    <row r="59" spans="1:20" ht="12">
      <c r="A59" s="13">
        <v>5416</v>
      </c>
      <c r="B59" s="13" t="s">
        <v>316</v>
      </c>
      <c r="C59" s="13" t="s">
        <v>286</v>
      </c>
      <c r="D59" s="36" t="s">
        <v>360</v>
      </c>
      <c r="E59" s="36" t="s">
        <v>80</v>
      </c>
      <c r="F59" s="286">
        <v>30000000</v>
      </c>
      <c r="G59" s="9">
        <v>30000000</v>
      </c>
      <c r="H59" s="3">
        <v>44418</v>
      </c>
      <c r="I59" s="151">
        <v>44453</v>
      </c>
      <c r="J59" s="9">
        <v>30000000</v>
      </c>
      <c r="K59" s="151">
        <v>44598</v>
      </c>
      <c r="L59" s="286">
        <v>25500000</v>
      </c>
      <c r="M59" s="9">
        <f t="shared" si="6"/>
        <v>4500000</v>
      </c>
      <c r="N59" s="151">
        <v>44601</v>
      </c>
      <c r="T59" s="408">
        <f t="shared" si="8"/>
        <v>4500000</v>
      </c>
    </row>
    <row r="60" spans="1:20" ht="12">
      <c r="A60" s="13">
        <v>5418</v>
      </c>
      <c r="B60" s="13" t="s">
        <v>77</v>
      </c>
      <c r="C60" s="13" t="s">
        <v>252</v>
      </c>
      <c r="D60" s="36" t="s">
        <v>94</v>
      </c>
      <c r="E60" s="36" t="s">
        <v>219</v>
      </c>
      <c r="F60" s="286">
        <v>69152737</v>
      </c>
      <c r="G60" s="9">
        <v>69152737</v>
      </c>
      <c r="H60" s="3">
        <v>44419</v>
      </c>
      <c r="I60" s="151">
        <v>44454</v>
      </c>
      <c r="J60" s="9">
        <v>69152737</v>
      </c>
      <c r="K60" s="151">
        <v>45656</v>
      </c>
      <c r="L60" s="504">
        <v>0</v>
      </c>
      <c r="M60" s="496">
        <f t="shared" ref="M60" si="10">J60-L60</f>
        <v>69152737</v>
      </c>
      <c r="N60" s="497">
        <v>44617</v>
      </c>
      <c r="O60" s="520"/>
      <c r="T60" s="412">
        <f t="shared" si="8"/>
        <v>69152737</v>
      </c>
    </row>
    <row r="61" spans="1:20" ht="12">
      <c r="A61" s="13">
        <v>5419</v>
      </c>
      <c r="B61" s="13" t="s">
        <v>77</v>
      </c>
      <c r="C61" s="13" t="s">
        <v>98</v>
      </c>
      <c r="D61" s="36" t="s">
        <v>94</v>
      </c>
      <c r="E61" s="36" t="s">
        <v>79</v>
      </c>
      <c r="F61" s="286">
        <v>52000000</v>
      </c>
      <c r="G61" s="9">
        <v>52000000</v>
      </c>
      <c r="H61" s="3">
        <v>44419</v>
      </c>
      <c r="I61" s="151">
        <v>44454</v>
      </c>
      <c r="J61" s="9">
        <v>0</v>
      </c>
      <c r="K61" s="151">
        <v>45656</v>
      </c>
      <c r="L61" s="27">
        <v>0</v>
      </c>
      <c r="M61" s="9">
        <f t="shared" si="6"/>
        <v>0</v>
      </c>
      <c r="N61" s="151">
        <v>44572</v>
      </c>
      <c r="O61" s="444" t="s">
        <v>503</v>
      </c>
      <c r="T61" s="412">
        <v>0</v>
      </c>
    </row>
    <row r="62" spans="1:20" ht="12">
      <c r="A62" s="13">
        <v>5420</v>
      </c>
      <c r="B62" s="13" t="s">
        <v>77</v>
      </c>
      <c r="C62" s="13" t="s">
        <v>344</v>
      </c>
      <c r="D62" s="36" t="s">
        <v>94</v>
      </c>
      <c r="E62" s="36" t="s">
        <v>345</v>
      </c>
      <c r="F62" s="286">
        <v>30000000</v>
      </c>
      <c r="G62" s="9">
        <v>30000000</v>
      </c>
      <c r="H62" s="3">
        <v>44420</v>
      </c>
      <c r="I62" s="151">
        <v>44455</v>
      </c>
      <c r="J62" s="9">
        <v>30000000</v>
      </c>
      <c r="K62" s="151">
        <v>45656</v>
      </c>
      <c r="L62" s="286">
        <v>0</v>
      </c>
      <c r="M62" s="9">
        <f t="shared" si="6"/>
        <v>30000000</v>
      </c>
      <c r="N62" s="151">
        <v>44603</v>
      </c>
      <c r="T62" s="408">
        <f t="shared" si="8"/>
        <v>30000000</v>
      </c>
    </row>
    <row r="63" spans="1:20" ht="12">
      <c r="A63" s="13">
        <v>5421</v>
      </c>
      <c r="B63" s="13" t="s">
        <v>77</v>
      </c>
      <c r="C63" s="13" t="s">
        <v>380</v>
      </c>
      <c r="D63" s="36" t="s">
        <v>94</v>
      </c>
      <c r="E63" s="36" t="s">
        <v>381</v>
      </c>
      <c r="F63" s="286">
        <v>35000000</v>
      </c>
      <c r="G63" s="9">
        <v>35000000</v>
      </c>
      <c r="H63" s="3">
        <v>44420</v>
      </c>
      <c r="I63" s="151">
        <v>44455</v>
      </c>
      <c r="J63" s="9">
        <v>35000000</v>
      </c>
      <c r="K63" s="151">
        <v>45656</v>
      </c>
      <c r="L63" s="27">
        <v>0</v>
      </c>
      <c r="M63" s="9">
        <f t="shared" si="6"/>
        <v>35000000</v>
      </c>
      <c r="N63" s="151">
        <v>44530</v>
      </c>
      <c r="T63" s="412">
        <f>M63</f>
        <v>35000000</v>
      </c>
    </row>
    <row r="64" spans="1:20" ht="12">
      <c r="A64" s="13">
        <v>5422</v>
      </c>
      <c r="B64" s="13" t="s">
        <v>316</v>
      </c>
      <c r="C64" s="13" t="s">
        <v>248</v>
      </c>
      <c r="D64" s="36" t="s">
        <v>382</v>
      </c>
      <c r="E64" s="36" t="s">
        <v>208</v>
      </c>
      <c r="F64" s="286">
        <v>22000000</v>
      </c>
      <c r="G64" s="9">
        <v>22000000</v>
      </c>
      <c r="H64" s="3">
        <v>44420</v>
      </c>
      <c r="I64" s="151">
        <v>44455</v>
      </c>
      <c r="J64" s="9">
        <v>22000000</v>
      </c>
      <c r="K64" s="151">
        <v>44600</v>
      </c>
      <c r="L64" s="286">
        <v>18000000</v>
      </c>
      <c r="M64" s="9">
        <f t="shared" ref="M64" si="11">J64-L64</f>
        <v>4000000</v>
      </c>
      <c r="N64" s="151">
        <v>44602</v>
      </c>
      <c r="T64" s="408">
        <f>M64</f>
        <v>4000000</v>
      </c>
    </row>
    <row r="65" spans="1:20" ht="12">
      <c r="A65" s="13">
        <v>5424</v>
      </c>
      <c r="B65" s="13" t="s">
        <v>77</v>
      </c>
      <c r="C65" s="13" t="s">
        <v>372</v>
      </c>
      <c r="D65" s="36" t="s">
        <v>94</v>
      </c>
      <c r="E65" s="36" t="s">
        <v>78</v>
      </c>
      <c r="F65" s="286">
        <v>69152737</v>
      </c>
      <c r="G65" s="9">
        <v>69152737</v>
      </c>
      <c r="H65" s="3">
        <v>44421</v>
      </c>
      <c r="I65" s="151">
        <v>44456</v>
      </c>
      <c r="J65" s="9">
        <f>69152737-6400000</f>
        <v>62752737</v>
      </c>
      <c r="K65" s="151">
        <v>45656</v>
      </c>
      <c r="L65" s="504">
        <v>62752737</v>
      </c>
      <c r="M65" s="496">
        <f t="shared" si="6"/>
        <v>0</v>
      </c>
      <c r="N65" s="497">
        <v>44623</v>
      </c>
      <c r="O65" s="444" t="s">
        <v>515</v>
      </c>
      <c r="P65" s="208" t="s">
        <v>598</v>
      </c>
      <c r="T65" s="412">
        <f>M65</f>
        <v>0</v>
      </c>
    </row>
    <row r="66" spans="1:20" ht="12">
      <c r="A66" s="13">
        <v>5425</v>
      </c>
      <c r="B66" s="13" t="s">
        <v>77</v>
      </c>
      <c r="C66" s="13" t="s">
        <v>76</v>
      </c>
      <c r="D66" s="36" t="s">
        <v>94</v>
      </c>
      <c r="E66" s="36" t="s">
        <v>78</v>
      </c>
      <c r="F66" s="286">
        <v>6000000</v>
      </c>
      <c r="G66" s="9">
        <v>6000000</v>
      </c>
      <c r="H66" s="3">
        <v>44421</v>
      </c>
      <c r="I66" s="151">
        <v>44456</v>
      </c>
      <c r="J66" s="9">
        <v>6000000</v>
      </c>
      <c r="K66" s="151">
        <v>45656</v>
      </c>
      <c r="L66" s="346">
        <v>6000000</v>
      </c>
      <c r="M66" s="496">
        <f t="shared" si="6"/>
        <v>0</v>
      </c>
      <c r="N66" s="497">
        <v>44603</v>
      </c>
      <c r="O66" s="467" t="s">
        <v>566</v>
      </c>
      <c r="T66" s="408">
        <f>M66</f>
        <v>0</v>
      </c>
    </row>
    <row r="67" spans="1:20" ht="12">
      <c r="A67" s="13">
        <v>5426</v>
      </c>
      <c r="B67" s="13" t="s">
        <v>77</v>
      </c>
      <c r="C67" s="13" t="s">
        <v>76</v>
      </c>
      <c r="D67" s="36" t="s">
        <v>94</v>
      </c>
      <c r="E67" s="36" t="s">
        <v>78</v>
      </c>
      <c r="F67" s="286">
        <v>5000000</v>
      </c>
      <c r="G67" s="9">
        <v>5000000</v>
      </c>
      <c r="H67" s="3">
        <v>44421</v>
      </c>
      <c r="I67" s="151">
        <v>44456</v>
      </c>
      <c r="J67" s="9">
        <v>5000000</v>
      </c>
      <c r="K67" s="151">
        <v>45656</v>
      </c>
      <c r="L67" s="346">
        <v>5000000</v>
      </c>
      <c r="M67" s="496">
        <f t="shared" si="6"/>
        <v>0</v>
      </c>
      <c r="N67" s="497">
        <v>44603</v>
      </c>
      <c r="O67" s="467" t="s">
        <v>567</v>
      </c>
      <c r="T67" s="408">
        <f t="shared" ref="T67:T69" si="12">M67</f>
        <v>0</v>
      </c>
    </row>
    <row r="68" spans="1:20" ht="12">
      <c r="A68" s="13">
        <v>5427</v>
      </c>
      <c r="B68" s="13" t="s">
        <v>77</v>
      </c>
      <c r="C68" s="13" t="s">
        <v>76</v>
      </c>
      <c r="D68" s="36" t="s">
        <v>94</v>
      </c>
      <c r="E68" s="36" t="s">
        <v>80</v>
      </c>
      <c r="F68" s="286">
        <v>30500000</v>
      </c>
      <c r="G68" s="9">
        <v>30500000</v>
      </c>
      <c r="H68" s="3">
        <v>44421</v>
      </c>
      <c r="I68" s="151">
        <v>44456</v>
      </c>
      <c r="J68" s="9">
        <v>30500000</v>
      </c>
      <c r="K68" s="151">
        <v>45656</v>
      </c>
      <c r="L68" s="346">
        <v>30450000</v>
      </c>
      <c r="M68" s="496">
        <f t="shared" si="6"/>
        <v>50000</v>
      </c>
      <c r="N68" s="497">
        <v>44603</v>
      </c>
      <c r="O68" s="467" t="s">
        <v>568</v>
      </c>
      <c r="T68" s="408">
        <f t="shared" si="12"/>
        <v>50000</v>
      </c>
    </row>
    <row r="69" spans="1:20" ht="12">
      <c r="A69" s="13">
        <v>5428</v>
      </c>
      <c r="B69" s="13" t="s">
        <v>77</v>
      </c>
      <c r="C69" s="13" t="s">
        <v>76</v>
      </c>
      <c r="D69" s="36" t="s">
        <v>94</v>
      </c>
      <c r="E69" s="36" t="s">
        <v>78</v>
      </c>
      <c r="F69" s="286">
        <v>20000000</v>
      </c>
      <c r="G69" s="9">
        <v>20000000</v>
      </c>
      <c r="H69" s="3">
        <v>44421</v>
      </c>
      <c r="I69" s="151">
        <v>44456</v>
      </c>
      <c r="J69" s="9">
        <v>20000000</v>
      </c>
      <c r="K69" s="151">
        <v>45656</v>
      </c>
      <c r="L69" s="286">
        <v>0</v>
      </c>
      <c r="M69" s="9">
        <f t="shared" si="6"/>
        <v>20000000</v>
      </c>
      <c r="N69" s="151">
        <v>44572</v>
      </c>
      <c r="O69" s="444"/>
      <c r="T69" s="408">
        <f t="shared" si="12"/>
        <v>20000000</v>
      </c>
    </row>
    <row r="70" spans="1:20" ht="12">
      <c r="A70" s="13">
        <v>5429</v>
      </c>
      <c r="B70" s="13" t="s">
        <v>77</v>
      </c>
      <c r="C70" s="13" t="s">
        <v>76</v>
      </c>
      <c r="D70" s="36" t="s">
        <v>94</v>
      </c>
      <c r="E70" s="36" t="s">
        <v>80</v>
      </c>
      <c r="F70" s="286">
        <v>20000000</v>
      </c>
      <c r="G70" s="9">
        <v>20000000</v>
      </c>
      <c r="H70" s="3">
        <v>44421</v>
      </c>
      <c r="I70" s="151">
        <v>44456</v>
      </c>
      <c r="J70" s="9">
        <f>20000000-17550000</f>
        <v>2450000</v>
      </c>
      <c r="K70" s="151">
        <v>45656</v>
      </c>
      <c r="L70" s="286">
        <v>0</v>
      </c>
      <c r="M70" s="9">
        <f t="shared" si="6"/>
        <v>2450000</v>
      </c>
      <c r="N70" s="151">
        <v>44572</v>
      </c>
      <c r="O70" s="495" t="s">
        <v>502</v>
      </c>
      <c r="T70" s="408">
        <f>M70</f>
        <v>2450000</v>
      </c>
    </row>
    <row r="71" spans="1:20" ht="12">
      <c r="A71" s="13">
        <v>5431</v>
      </c>
      <c r="B71" s="13" t="s">
        <v>77</v>
      </c>
      <c r="C71" s="13" t="s">
        <v>76</v>
      </c>
      <c r="D71" s="36" t="s">
        <v>94</v>
      </c>
      <c r="E71" s="36" t="s">
        <v>78</v>
      </c>
      <c r="F71" s="286">
        <v>45000000</v>
      </c>
      <c r="G71" s="9">
        <v>45000000</v>
      </c>
      <c r="H71" s="3">
        <v>44421</v>
      </c>
      <c r="I71" s="151">
        <v>44456</v>
      </c>
      <c r="J71" s="9">
        <v>45000000</v>
      </c>
      <c r="K71" s="151">
        <v>45656</v>
      </c>
      <c r="L71" s="286">
        <v>0</v>
      </c>
      <c r="M71" s="9">
        <f t="shared" si="6"/>
        <v>45000000</v>
      </c>
      <c r="N71" s="151">
        <v>44572</v>
      </c>
      <c r="O71" s="495"/>
      <c r="T71" s="408">
        <f>M71</f>
        <v>45000000</v>
      </c>
    </row>
    <row r="72" spans="1:20" ht="12">
      <c r="A72" s="13">
        <v>5432</v>
      </c>
      <c r="B72" s="13" t="s">
        <v>77</v>
      </c>
      <c r="C72" s="13" t="s">
        <v>76</v>
      </c>
      <c r="D72" s="36" t="s">
        <v>94</v>
      </c>
      <c r="E72" s="36" t="s">
        <v>78</v>
      </c>
      <c r="F72" s="286">
        <v>50000000</v>
      </c>
      <c r="G72" s="9">
        <v>50000000</v>
      </c>
      <c r="H72" s="3">
        <v>44421</v>
      </c>
      <c r="I72" s="151">
        <v>44456</v>
      </c>
      <c r="J72" s="9">
        <v>50000000</v>
      </c>
      <c r="K72" s="151">
        <v>45656</v>
      </c>
      <c r="L72" s="286">
        <v>0</v>
      </c>
      <c r="M72" s="9">
        <f t="shared" ref="M72:M73" si="13">J72-L72</f>
        <v>50000000</v>
      </c>
      <c r="N72" s="151">
        <v>44572</v>
      </c>
      <c r="O72" s="495"/>
      <c r="T72" s="408">
        <f>M72</f>
        <v>50000000</v>
      </c>
    </row>
    <row r="73" spans="1:20" ht="12">
      <c r="A73" s="13">
        <v>5433</v>
      </c>
      <c r="B73" s="13" t="s">
        <v>77</v>
      </c>
      <c r="C73" s="13" t="s">
        <v>76</v>
      </c>
      <c r="D73" s="36" t="s">
        <v>94</v>
      </c>
      <c r="E73" s="36" t="s">
        <v>397</v>
      </c>
      <c r="F73" s="286">
        <v>48000000</v>
      </c>
      <c r="G73" s="9">
        <v>48000000</v>
      </c>
      <c r="H73" s="3">
        <v>44421</v>
      </c>
      <c r="I73" s="151">
        <v>44456</v>
      </c>
      <c r="J73" s="9">
        <v>48000000</v>
      </c>
      <c r="K73" s="151">
        <v>45656</v>
      </c>
      <c r="L73" s="286">
        <v>0</v>
      </c>
      <c r="M73" s="9">
        <f t="shared" si="13"/>
        <v>48000000</v>
      </c>
      <c r="N73" s="151">
        <v>44572</v>
      </c>
      <c r="O73" s="495"/>
      <c r="T73" s="408">
        <f>M73</f>
        <v>48000000</v>
      </c>
    </row>
    <row r="74" spans="1:20" ht="12">
      <c r="A74" s="13">
        <v>5434</v>
      </c>
      <c r="B74" s="13" t="s">
        <v>77</v>
      </c>
      <c r="C74" s="13" t="s">
        <v>157</v>
      </c>
      <c r="D74" s="36" t="s">
        <v>94</v>
      </c>
      <c r="E74" s="36" t="s">
        <v>215</v>
      </c>
      <c r="F74" s="286">
        <v>20000000</v>
      </c>
      <c r="G74" s="9">
        <v>20000000</v>
      </c>
      <c r="H74" s="3">
        <v>44421</v>
      </c>
      <c r="I74" s="151">
        <v>44456</v>
      </c>
      <c r="J74" s="9">
        <v>5000000</v>
      </c>
      <c r="K74" s="151">
        <v>45656</v>
      </c>
      <c r="L74" s="286">
        <v>0</v>
      </c>
      <c r="M74" s="9">
        <f t="shared" si="6"/>
        <v>5000000</v>
      </c>
      <c r="N74" s="151">
        <v>44603</v>
      </c>
      <c r="O74" s="444" t="s">
        <v>561</v>
      </c>
      <c r="T74" s="408">
        <f>M74</f>
        <v>5000000</v>
      </c>
    </row>
    <row r="75" spans="1:20" ht="12">
      <c r="A75" s="13">
        <v>5435</v>
      </c>
      <c r="B75" s="13" t="s">
        <v>77</v>
      </c>
      <c r="C75" s="13" t="s">
        <v>157</v>
      </c>
      <c r="D75" s="36" t="s">
        <v>94</v>
      </c>
      <c r="E75" s="36" t="s">
        <v>353</v>
      </c>
      <c r="F75" s="286">
        <v>12000000</v>
      </c>
      <c r="G75" s="9">
        <v>12000000</v>
      </c>
      <c r="H75" s="3">
        <v>44421</v>
      </c>
      <c r="I75" s="151">
        <v>44456</v>
      </c>
      <c r="J75" s="9">
        <v>12000000</v>
      </c>
      <c r="K75" s="151">
        <v>45656</v>
      </c>
      <c r="L75" s="286">
        <v>0</v>
      </c>
      <c r="M75" s="9">
        <f t="shared" si="6"/>
        <v>12000000</v>
      </c>
      <c r="N75" s="151">
        <v>44603</v>
      </c>
      <c r="O75" s="444"/>
      <c r="T75" s="408">
        <f t="shared" ref="T75:T80" si="14">M75</f>
        <v>12000000</v>
      </c>
    </row>
    <row r="76" spans="1:20" ht="12">
      <c r="A76" s="13">
        <v>5437</v>
      </c>
      <c r="B76" s="13" t="s">
        <v>77</v>
      </c>
      <c r="C76" s="13" t="s">
        <v>347</v>
      </c>
      <c r="D76" s="36" t="s">
        <v>94</v>
      </c>
      <c r="E76" s="36" t="s">
        <v>348</v>
      </c>
      <c r="F76" s="286">
        <v>18000000</v>
      </c>
      <c r="G76" s="9">
        <v>18000000</v>
      </c>
      <c r="H76" s="3">
        <v>44428</v>
      </c>
      <c r="I76" s="151">
        <v>44463</v>
      </c>
      <c r="J76" s="9">
        <v>18000000</v>
      </c>
      <c r="K76" s="151">
        <v>45656</v>
      </c>
      <c r="L76" s="504">
        <v>18000000</v>
      </c>
      <c r="M76" s="496">
        <f t="shared" si="6"/>
        <v>0</v>
      </c>
      <c r="N76" s="497">
        <v>44616</v>
      </c>
      <c r="O76" s="498" t="s">
        <v>587</v>
      </c>
      <c r="T76" s="412">
        <f t="shared" si="14"/>
        <v>0</v>
      </c>
    </row>
    <row r="77" spans="1:20" ht="12">
      <c r="A77" s="13">
        <v>5438</v>
      </c>
      <c r="B77" s="13" t="s">
        <v>77</v>
      </c>
      <c r="C77" s="13" t="s">
        <v>386</v>
      </c>
      <c r="D77" s="36" t="s">
        <v>94</v>
      </c>
      <c r="E77" s="36" t="s">
        <v>388</v>
      </c>
      <c r="F77" s="286">
        <v>22000000</v>
      </c>
      <c r="G77" s="9">
        <v>22000000</v>
      </c>
      <c r="H77" s="3">
        <v>44428</v>
      </c>
      <c r="I77" s="151">
        <v>44463</v>
      </c>
      <c r="J77" s="9">
        <v>22000000</v>
      </c>
      <c r="K77" s="151">
        <v>45656</v>
      </c>
      <c r="L77" s="346">
        <v>22000000</v>
      </c>
      <c r="M77" s="496">
        <f t="shared" si="6"/>
        <v>0</v>
      </c>
      <c r="N77" s="497">
        <v>44610</v>
      </c>
      <c r="O77" s="498" t="s">
        <v>572</v>
      </c>
      <c r="T77" s="408">
        <f t="shared" si="14"/>
        <v>0</v>
      </c>
    </row>
    <row r="78" spans="1:20" ht="12">
      <c r="A78" s="13">
        <v>5441</v>
      </c>
      <c r="B78" s="13" t="s">
        <v>77</v>
      </c>
      <c r="C78" s="13" t="s">
        <v>250</v>
      </c>
      <c r="D78" s="36" t="s">
        <v>94</v>
      </c>
      <c r="E78" s="36" t="s">
        <v>209</v>
      </c>
      <c r="F78" s="286">
        <v>60000000</v>
      </c>
      <c r="G78" s="9">
        <v>60000000</v>
      </c>
      <c r="H78" s="3">
        <v>44429</v>
      </c>
      <c r="I78" s="151">
        <v>44464</v>
      </c>
      <c r="J78" s="9">
        <v>60000000</v>
      </c>
      <c r="K78" s="151">
        <v>45656</v>
      </c>
      <c r="L78" s="504">
        <v>60000000</v>
      </c>
      <c r="M78" s="496">
        <f t="shared" si="6"/>
        <v>0</v>
      </c>
      <c r="N78" s="497">
        <v>44587</v>
      </c>
      <c r="O78" s="498" t="s">
        <v>526</v>
      </c>
      <c r="T78" s="412">
        <f t="shared" si="14"/>
        <v>0</v>
      </c>
    </row>
    <row r="79" spans="1:20" ht="12">
      <c r="A79" s="13">
        <v>5442</v>
      </c>
      <c r="B79" s="13" t="s">
        <v>77</v>
      </c>
      <c r="C79" s="13" t="s">
        <v>252</v>
      </c>
      <c r="D79" s="36" t="s">
        <v>94</v>
      </c>
      <c r="E79" s="36" t="s">
        <v>80</v>
      </c>
      <c r="F79" s="286">
        <v>20000000</v>
      </c>
      <c r="G79" s="9">
        <v>20000000</v>
      </c>
      <c r="H79" s="3">
        <v>44429</v>
      </c>
      <c r="I79" s="151">
        <v>44464</v>
      </c>
      <c r="J79" s="9">
        <v>20000000</v>
      </c>
      <c r="K79" s="151">
        <v>45656</v>
      </c>
      <c r="L79" s="27">
        <v>0</v>
      </c>
      <c r="M79" s="9">
        <f t="shared" si="6"/>
        <v>20000000</v>
      </c>
      <c r="N79" s="151">
        <v>44574</v>
      </c>
      <c r="O79" s="444"/>
      <c r="P79" s="500"/>
      <c r="T79" s="412">
        <f t="shared" si="14"/>
        <v>20000000</v>
      </c>
    </row>
    <row r="80" spans="1:20" ht="12">
      <c r="A80" s="13">
        <v>5444</v>
      </c>
      <c r="B80" s="13" t="s">
        <v>77</v>
      </c>
      <c r="C80" s="13" t="s">
        <v>249</v>
      </c>
      <c r="D80" s="36" t="s">
        <v>94</v>
      </c>
      <c r="E80" s="36" t="s">
        <v>78</v>
      </c>
      <c r="F80" s="409">
        <v>40000000</v>
      </c>
      <c r="G80" s="9">
        <v>40000000</v>
      </c>
      <c r="H80" s="3">
        <v>44429</v>
      </c>
      <c r="I80" s="151">
        <v>44464</v>
      </c>
      <c r="J80" s="9">
        <v>40000000</v>
      </c>
      <c r="K80" s="151">
        <v>45656</v>
      </c>
      <c r="L80" s="504">
        <v>40000000</v>
      </c>
      <c r="M80" s="496">
        <f t="shared" si="6"/>
        <v>0</v>
      </c>
      <c r="N80" s="497">
        <v>44594</v>
      </c>
      <c r="O80" s="498" t="s">
        <v>536</v>
      </c>
      <c r="T80" s="412">
        <f t="shared" si="14"/>
        <v>0</v>
      </c>
    </row>
    <row r="81" spans="1:20" ht="12">
      <c r="A81" s="13">
        <v>5445</v>
      </c>
      <c r="B81" s="13" t="s">
        <v>316</v>
      </c>
      <c r="C81" s="13" t="s">
        <v>365</v>
      </c>
      <c r="D81" s="36" t="s">
        <v>366</v>
      </c>
      <c r="E81" s="36" t="s">
        <v>79</v>
      </c>
      <c r="F81" s="409">
        <v>60000000</v>
      </c>
      <c r="G81" s="9">
        <v>60000000</v>
      </c>
      <c r="H81" s="3">
        <v>44442</v>
      </c>
      <c r="I81" s="151">
        <v>44477</v>
      </c>
      <c r="J81" s="9">
        <v>0</v>
      </c>
      <c r="K81" s="151">
        <f>H81+180</f>
        <v>44622</v>
      </c>
      <c r="L81" s="286">
        <v>0</v>
      </c>
      <c r="M81" s="9">
        <f t="shared" si="6"/>
        <v>0</v>
      </c>
      <c r="N81" s="151">
        <v>44624</v>
      </c>
      <c r="O81" s="444" t="s">
        <v>602</v>
      </c>
      <c r="T81" s="408">
        <v>0</v>
      </c>
    </row>
    <row r="82" spans="1:20" ht="12">
      <c r="A82" s="13">
        <v>5446</v>
      </c>
      <c r="B82" s="13" t="s">
        <v>77</v>
      </c>
      <c r="C82" s="13" t="s">
        <v>308</v>
      </c>
      <c r="D82" s="36" t="s">
        <v>94</v>
      </c>
      <c r="E82" s="36" t="s">
        <v>80</v>
      </c>
      <c r="F82" s="409">
        <v>50000000</v>
      </c>
      <c r="G82" s="9">
        <v>50000000</v>
      </c>
      <c r="H82" s="3">
        <v>44448</v>
      </c>
      <c r="I82" s="151">
        <v>44483</v>
      </c>
      <c r="J82" s="9">
        <v>0</v>
      </c>
      <c r="K82" s="151">
        <v>44628</v>
      </c>
      <c r="L82" s="27">
        <v>0</v>
      </c>
      <c r="M82" s="9">
        <f t="shared" si="6"/>
        <v>0</v>
      </c>
      <c r="N82" s="151">
        <v>44586</v>
      </c>
      <c r="O82" s="444" t="s">
        <v>524</v>
      </c>
      <c r="T82" s="412">
        <v>0</v>
      </c>
    </row>
    <row r="83" spans="1:20" s="185" customFormat="1" ht="12">
      <c r="A83" s="5">
        <v>5451</v>
      </c>
      <c r="B83" s="5" t="s">
        <v>77</v>
      </c>
      <c r="C83" s="5" t="s">
        <v>98</v>
      </c>
      <c r="D83" s="26" t="s">
        <v>403</v>
      </c>
      <c r="E83" s="26" t="s">
        <v>79</v>
      </c>
      <c r="F83" s="344">
        <v>33000000</v>
      </c>
      <c r="G83" s="123">
        <v>33000000</v>
      </c>
      <c r="H83" s="7">
        <v>44509</v>
      </c>
      <c r="I83" s="183">
        <v>44544</v>
      </c>
      <c r="J83" s="123">
        <v>33000000</v>
      </c>
      <c r="K83" s="183">
        <v>44689</v>
      </c>
      <c r="L83" s="32">
        <v>0</v>
      </c>
      <c r="M83" s="123">
        <f t="shared" si="6"/>
        <v>33000000</v>
      </c>
      <c r="N83" s="183">
        <v>44548</v>
      </c>
      <c r="O83" s="444" t="s">
        <v>415</v>
      </c>
      <c r="T83" s="62">
        <v>0</v>
      </c>
    </row>
    <row r="84" spans="1:20" s="185" customFormat="1" ht="12">
      <c r="A84" s="5">
        <v>5455</v>
      </c>
      <c r="B84" s="5" t="s">
        <v>77</v>
      </c>
      <c r="C84" s="5" t="s">
        <v>212</v>
      </c>
      <c r="D84" s="26" t="s">
        <v>328</v>
      </c>
      <c r="E84" s="26" t="s">
        <v>79</v>
      </c>
      <c r="F84" s="344">
        <v>8000000</v>
      </c>
      <c r="G84" s="123">
        <v>8000000</v>
      </c>
      <c r="H84" s="7">
        <v>44513</v>
      </c>
      <c r="I84" s="183">
        <v>44548</v>
      </c>
      <c r="J84" s="123">
        <v>8000000</v>
      </c>
      <c r="K84" s="183">
        <v>44693</v>
      </c>
      <c r="L84" s="32">
        <v>0</v>
      </c>
      <c r="M84" s="123">
        <f t="shared" si="6"/>
        <v>8000000</v>
      </c>
      <c r="N84" s="183">
        <v>44548</v>
      </c>
      <c r="O84" s="444" t="s">
        <v>414</v>
      </c>
      <c r="T84" s="62">
        <v>0</v>
      </c>
    </row>
    <row r="85" spans="1:20" s="185" customFormat="1" ht="12">
      <c r="A85" s="5">
        <v>5456</v>
      </c>
      <c r="B85" s="5" t="s">
        <v>77</v>
      </c>
      <c r="C85" s="5" t="s">
        <v>212</v>
      </c>
      <c r="D85" s="26" t="s">
        <v>405</v>
      </c>
      <c r="E85" s="26" t="s">
        <v>269</v>
      </c>
      <c r="F85" s="344">
        <v>8500000</v>
      </c>
      <c r="G85" s="123">
        <v>8500000</v>
      </c>
      <c r="H85" s="7">
        <v>44513</v>
      </c>
      <c r="I85" s="183">
        <v>44548</v>
      </c>
      <c r="J85" s="123">
        <v>8500000</v>
      </c>
      <c r="K85" s="183">
        <v>44693</v>
      </c>
      <c r="L85" s="32">
        <v>0</v>
      </c>
      <c r="M85" s="123">
        <f t="shared" si="6"/>
        <v>8500000</v>
      </c>
      <c r="N85" s="183">
        <v>44548</v>
      </c>
      <c r="O85" s="444" t="s">
        <v>413</v>
      </c>
      <c r="T85" s="62">
        <v>0</v>
      </c>
    </row>
    <row r="86" spans="1:20" s="185" customFormat="1" ht="12">
      <c r="A86" s="5"/>
      <c r="B86" s="5"/>
      <c r="C86" s="5"/>
      <c r="D86" s="26"/>
      <c r="E86" s="26"/>
      <c r="F86" s="341"/>
      <c r="G86" s="123"/>
      <c r="H86" s="7"/>
      <c r="I86" s="183"/>
      <c r="J86" s="123"/>
      <c r="K86" s="183"/>
      <c r="L86" s="32"/>
      <c r="M86" s="123"/>
      <c r="N86" s="183"/>
      <c r="T86" s="62"/>
    </row>
    <row r="87" spans="1:20" ht="12">
      <c r="A87" s="13"/>
      <c r="B87" s="13"/>
      <c r="C87" s="13"/>
      <c r="D87" s="36"/>
      <c r="E87" s="36"/>
      <c r="F87" s="286"/>
      <c r="G87" s="71"/>
      <c r="H87" s="3"/>
      <c r="I87" s="3"/>
      <c r="J87" s="77">
        <f>SUM(J46:J85)</f>
        <v>1059855474</v>
      </c>
      <c r="K87" s="7"/>
      <c r="L87" s="77">
        <f>SUM(L46:L85)</f>
        <v>593442737</v>
      </c>
      <c r="M87" s="77">
        <f>SUM(M46:M85)</f>
        <v>466412737</v>
      </c>
      <c r="N87" s="151"/>
      <c r="T87" s="77">
        <f>SUM(T46:T85)</f>
        <v>416912737</v>
      </c>
    </row>
    <row r="88" spans="1:20" ht="12">
      <c r="G88" s="447"/>
      <c r="I88" s="196"/>
      <c r="N88" s="151"/>
    </row>
    <row r="90" spans="1:20" ht="12.6" thickBot="1">
      <c r="G90" s="191"/>
      <c r="J90" s="339">
        <f>F14+J43+J87</f>
        <v>2816011239.25</v>
      </c>
      <c r="M90" s="339">
        <f>M87+M43+J11</f>
        <v>2311555976.25</v>
      </c>
      <c r="O90" s="263"/>
      <c r="P90" s="263"/>
      <c r="Q90" s="263"/>
      <c r="R90" s="263"/>
      <c r="T90" s="337">
        <f>T87+T43+F14</f>
        <v>2173068502.25</v>
      </c>
    </row>
    <row r="91" spans="1:20" ht="12" thickTop="1">
      <c r="M91" s="196"/>
    </row>
    <row r="92" spans="1:20">
      <c r="J92" s="196"/>
    </row>
    <row r="93" spans="1:20">
      <c r="H93" s="198"/>
      <c r="J93" s="447"/>
      <c r="L93" s="388"/>
    </row>
    <row r="94" spans="1:20" ht="12">
      <c r="A94" s="13"/>
      <c r="B94" s="13"/>
      <c r="C94" s="13"/>
      <c r="D94" s="36"/>
      <c r="E94" s="36"/>
      <c r="F94" s="409"/>
      <c r="H94" s="198"/>
      <c r="L94" s="388"/>
    </row>
    <row r="95" spans="1:20" ht="12">
      <c r="A95" s="13"/>
      <c r="B95" s="13"/>
      <c r="C95" s="13"/>
      <c r="D95" s="36"/>
      <c r="E95" s="36"/>
      <c r="F95" s="409"/>
      <c r="G95" s="286"/>
      <c r="H95" s="11"/>
      <c r="I95" s="11"/>
      <c r="J95" s="286"/>
      <c r="K95" s="11"/>
      <c r="L95" s="196"/>
    </row>
    <row r="96" spans="1:20">
      <c r="H96" s="198"/>
    </row>
    <row r="97" spans="8:12">
      <c r="H97" s="198"/>
      <c r="L97" s="196"/>
    </row>
    <row r="98" spans="8:12">
      <c r="H98" s="198"/>
      <c r="L98" s="196"/>
    </row>
    <row r="99" spans="8:12">
      <c r="L99" s="196"/>
    </row>
  </sheetData>
  <phoneticPr fontId="3" type="noConversion"/>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dimension ref="A1:AA109"/>
  <sheetViews>
    <sheetView workbookViewId="0">
      <pane xSplit="1" ySplit="2" topLeftCell="B3" activePane="bottomRight" state="frozen"/>
      <selection activeCell="M43" sqref="M43"/>
      <selection pane="topRight" activeCell="M43" sqref="M43"/>
      <selection pane="bottomLeft" activeCell="M43" sqref="M43"/>
      <selection pane="bottomRight"/>
    </sheetView>
  </sheetViews>
  <sheetFormatPr defaultColWidth="9" defaultRowHeight="11.4"/>
  <cols>
    <col min="1" max="1" width="24" bestFit="1" customWidth="1"/>
    <col min="2" max="7" width="24" customWidth="1"/>
    <col min="8" max="8" width="18" customWidth="1"/>
    <col min="9" max="9" width="15.125" bestFit="1" customWidth="1"/>
    <col min="10" max="10" width="15.125" customWidth="1"/>
    <col min="11" max="12" width="15.625" bestFit="1" customWidth="1"/>
    <col min="13" max="13" width="15.75" customWidth="1"/>
    <col min="14" max="15" width="15.125" bestFit="1" customWidth="1"/>
    <col min="16" max="18" width="17.375" bestFit="1" customWidth="1"/>
    <col min="19" max="25" width="15.125" bestFit="1" customWidth="1"/>
    <col min="26" max="27" width="12.875" bestFit="1" customWidth="1"/>
  </cols>
  <sheetData>
    <row r="1" spans="1:27">
      <c r="B1" s="5">
        <v>2026</v>
      </c>
      <c r="C1" s="5">
        <v>2025</v>
      </c>
      <c r="D1" s="5">
        <v>2024</v>
      </c>
      <c r="E1" s="5">
        <v>2023</v>
      </c>
      <c r="F1" s="5">
        <v>2022</v>
      </c>
      <c r="G1" s="5">
        <v>2021</v>
      </c>
      <c r="H1" s="5">
        <v>2020</v>
      </c>
      <c r="I1" s="5">
        <v>2019</v>
      </c>
      <c r="J1" s="5">
        <v>2018</v>
      </c>
      <c r="K1" s="5">
        <v>2017</v>
      </c>
      <c r="L1" s="5">
        <v>2016</v>
      </c>
      <c r="M1" s="5">
        <v>2015</v>
      </c>
      <c r="N1" s="5">
        <v>2014</v>
      </c>
      <c r="O1" s="5">
        <v>2013</v>
      </c>
      <c r="P1" s="5">
        <v>2012</v>
      </c>
      <c r="Q1" s="5">
        <v>2011</v>
      </c>
      <c r="R1" s="5">
        <v>2010</v>
      </c>
      <c r="S1" s="210">
        <v>2009</v>
      </c>
      <c r="T1" s="210">
        <v>2008</v>
      </c>
      <c r="U1" s="210">
        <v>2007</v>
      </c>
      <c r="V1" s="210">
        <v>2006</v>
      </c>
      <c r="W1" s="210">
        <v>2005</v>
      </c>
      <c r="X1" s="210">
        <v>2004</v>
      </c>
      <c r="Y1" s="210">
        <v>2003</v>
      </c>
      <c r="Z1" s="210" t="s">
        <v>129</v>
      </c>
      <c r="AA1" s="210" t="s">
        <v>130</v>
      </c>
    </row>
    <row r="2" spans="1:27" ht="12" thickBot="1">
      <c r="B2" s="5" t="s">
        <v>99</v>
      </c>
      <c r="C2" s="5" t="s">
        <v>99</v>
      </c>
      <c r="D2" s="5" t="s">
        <v>99</v>
      </c>
      <c r="E2" s="5" t="s">
        <v>99</v>
      </c>
      <c r="F2" s="5" t="s">
        <v>99</v>
      </c>
      <c r="G2" s="5" t="s">
        <v>99</v>
      </c>
      <c r="H2" s="5" t="s">
        <v>99</v>
      </c>
      <c r="I2" s="5" t="s">
        <v>99</v>
      </c>
      <c r="J2" s="5" t="s">
        <v>99</v>
      </c>
      <c r="K2" s="5" t="s">
        <v>99</v>
      </c>
      <c r="L2" s="5" t="s">
        <v>99</v>
      </c>
      <c r="M2" s="5" t="s">
        <v>99</v>
      </c>
      <c r="N2" s="5" t="s">
        <v>99</v>
      </c>
      <c r="O2" s="5" t="s">
        <v>99</v>
      </c>
      <c r="P2" s="5" t="s">
        <v>99</v>
      </c>
      <c r="Q2" s="5" t="s">
        <v>99</v>
      </c>
      <c r="R2" s="5" t="s">
        <v>99</v>
      </c>
      <c r="S2" s="211" t="s">
        <v>99</v>
      </c>
      <c r="T2" s="211" t="s">
        <v>99</v>
      </c>
      <c r="U2" s="69" t="s">
        <v>99</v>
      </c>
      <c r="V2" s="211" t="s">
        <v>99</v>
      </c>
      <c r="W2" s="211" t="s">
        <v>99</v>
      </c>
      <c r="X2" s="211" t="s">
        <v>99</v>
      </c>
      <c r="Y2" s="211" t="s">
        <v>99</v>
      </c>
    </row>
    <row r="3" spans="1:27" ht="12">
      <c r="A3" s="212" t="s">
        <v>100</v>
      </c>
      <c r="B3" s="213">
        <f>Totals!B8</f>
        <v>4280825835</v>
      </c>
      <c r="C3" s="213">
        <v>4067808030</v>
      </c>
      <c r="D3" s="213">
        <v>3812912625</v>
      </c>
      <c r="E3" s="213">
        <v>3603548640</v>
      </c>
      <c r="F3" s="213">
        <v>3248073510</v>
      </c>
      <c r="G3" s="213">
        <v>3229683490</v>
      </c>
      <c r="H3" s="213">
        <v>3044567505</v>
      </c>
      <c r="I3" s="213">
        <v>3013693725</v>
      </c>
      <c r="J3" s="213">
        <v>2971982580</v>
      </c>
      <c r="K3" s="213">
        <v>2786259600</v>
      </c>
      <c r="L3" s="214">
        <v>2746911400</v>
      </c>
      <c r="M3" s="214">
        <v>2695695800</v>
      </c>
      <c r="N3" s="215">
        <v>2644819300</v>
      </c>
      <c r="O3" s="214">
        <v>2475624285</v>
      </c>
      <c r="P3" s="216">
        <v>2439094695</v>
      </c>
      <c r="Q3" s="216">
        <v>2388828295</v>
      </c>
      <c r="R3" s="217">
        <v>2230407180</v>
      </c>
      <c r="S3" s="213">
        <v>2189427660</v>
      </c>
      <c r="T3" s="213">
        <v>2031872300</v>
      </c>
      <c r="U3" s="218">
        <v>1998161555</v>
      </c>
      <c r="V3" s="128">
        <v>1828797440</v>
      </c>
      <c r="W3" s="219">
        <v>1799201760</v>
      </c>
      <c r="X3" s="219">
        <v>1769480721</v>
      </c>
      <c r="Y3" s="220">
        <v>1633491975</v>
      </c>
      <c r="Z3" s="128">
        <v>1599376350</v>
      </c>
      <c r="AA3" s="221">
        <v>1303238750</v>
      </c>
    </row>
    <row r="4" spans="1:27" ht="12">
      <c r="A4" s="222" t="s">
        <v>101</v>
      </c>
      <c r="B4" s="95">
        <f>SUM(C50:C53)</f>
        <v>4883972980.0499992</v>
      </c>
      <c r="C4" s="95">
        <v>3743195697.0599995</v>
      </c>
      <c r="D4" s="95">
        <v>2792224621.5299997</v>
      </c>
      <c r="E4" s="95">
        <v>2700914810.6500001</v>
      </c>
      <c r="F4" s="95">
        <v>2686322327.4000001</v>
      </c>
      <c r="G4" s="95">
        <v>2978059429.2000003</v>
      </c>
      <c r="H4" s="95">
        <v>3375990905.0444999</v>
      </c>
      <c r="I4" s="95">
        <v>3859636297.79</v>
      </c>
      <c r="J4" s="95">
        <v>3309406951.9200001</v>
      </c>
      <c r="K4" s="95">
        <v>4848200159.04</v>
      </c>
      <c r="L4" s="95">
        <v>3814503629.1999998</v>
      </c>
      <c r="M4" s="265">
        <v>3765710513</v>
      </c>
      <c r="N4" s="95">
        <v>2632133224.8000002</v>
      </c>
      <c r="O4" s="95">
        <v>2242234046.5999999</v>
      </c>
      <c r="P4" s="266">
        <v>2951305638.4499998</v>
      </c>
      <c r="Q4" s="266">
        <v>3300803953.3000002</v>
      </c>
      <c r="R4" s="267">
        <v>3176726243.5500002</v>
      </c>
      <c r="S4" s="95">
        <v>2279707954.3499999</v>
      </c>
      <c r="T4" s="95">
        <v>729155910.35000002</v>
      </c>
      <c r="U4" s="148">
        <v>707913757.5</v>
      </c>
      <c r="V4" s="148">
        <v>940721729</v>
      </c>
      <c r="W4" s="148">
        <v>799457756.54999995</v>
      </c>
      <c r="X4" s="164">
        <v>385204031</v>
      </c>
      <c r="Y4" s="223">
        <v>192694519</v>
      </c>
      <c r="Z4" s="76">
        <v>63200000</v>
      </c>
      <c r="AA4" s="224">
        <v>19066155</v>
      </c>
    </row>
    <row r="5" spans="1:27" ht="12.6" thickBot="1">
      <c r="A5" s="225" t="s">
        <v>102</v>
      </c>
      <c r="B5" s="226">
        <f>B3+B4</f>
        <v>9164798815.0499992</v>
      </c>
      <c r="C5" s="226">
        <v>7811003727.0599995</v>
      </c>
      <c r="D5" s="226">
        <v>6605137246.5299997</v>
      </c>
      <c r="E5" s="226">
        <f>E3+E4</f>
        <v>6304463450.6499996</v>
      </c>
      <c r="F5" s="226">
        <v>5934395837.3999996</v>
      </c>
      <c r="G5" s="226">
        <v>6207742919.2000008</v>
      </c>
      <c r="H5" s="226">
        <v>6420558410.0445004</v>
      </c>
      <c r="I5" s="226">
        <v>6873330022.79</v>
      </c>
      <c r="J5" s="226">
        <v>6281389531.9200001</v>
      </c>
      <c r="K5" s="226">
        <v>7634459759.04</v>
      </c>
      <c r="L5" s="227">
        <v>6561415029.1999998</v>
      </c>
      <c r="M5" s="228">
        <v>6461406313</v>
      </c>
      <c r="N5" s="228">
        <v>5276952524.8000002</v>
      </c>
      <c r="O5" s="228">
        <v>4717858331.6000004</v>
      </c>
      <c r="P5" s="229">
        <v>5390400333.4499998</v>
      </c>
      <c r="Q5" s="229">
        <v>5689632248.3000002</v>
      </c>
      <c r="R5" s="229">
        <v>5407133423.5500002</v>
      </c>
      <c r="S5" s="230">
        <v>4469135614.3500004</v>
      </c>
      <c r="T5" s="231">
        <v>2761028210.3499999</v>
      </c>
      <c r="U5" s="232">
        <v>2706075312.5</v>
      </c>
      <c r="V5" s="232">
        <v>2769519169</v>
      </c>
      <c r="W5" s="232">
        <v>2598659516.5500002</v>
      </c>
      <c r="X5" s="232">
        <v>2154684752</v>
      </c>
      <c r="Y5" s="233">
        <v>1826186494</v>
      </c>
      <c r="Z5" s="232">
        <v>1662576350</v>
      </c>
      <c r="AA5" s="233">
        <v>1322304905</v>
      </c>
    </row>
    <row r="6" spans="1:27" ht="12">
      <c r="A6" s="436"/>
      <c r="B6" s="485"/>
      <c r="C6" s="267"/>
      <c r="D6" s="58"/>
      <c r="E6" s="58"/>
      <c r="F6" s="58"/>
      <c r="G6" s="58"/>
      <c r="H6" s="58"/>
      <c r="I6" s="58"/>
      <c r="J6" s="58"/>
      <c r="K6" s="58"/>
      <c r="L6" s="58"/>
      <c r="M6" s="234"/>
      <c r="N6" s="378"/>
      <c r="O6" s="235"/>
      <c r="P6" s="58"/>
      <c r="Q6" s="58"/>
      <c r="R6" s="58"/>
      <c r="S6" s="58"/>
      <c r="T6" s="58"/>
      <c r="U6" s="95"/>
      <c r="V6" s="95"/>
      <c r="W6" s="164"/>
      <c r="X6" s="164"/>
      <c r="Y6" s="223"/>
      <c r="Z6" s="76"/>
      <c r="AA6" s="236"/>
    </row>
    <row r="7" spans="1:27" ht="12.6" thickBot="1">
      <c r="A7" s="225"/>
      <c r="B7" s="484"/>
      <c r="C7" s="432"/>
      <c r="D7" s="432"/>
      <c r="E7" s="432"/>
      <c r="F7" s="432"/>
      <c r="G7" s="432"/>
      <c r="H7" s="432"/>
      <c r="I7" s="432"/>
      <c r="J7" s="432"/>
      <c r="K7" s="432"/>
      <c r="L7" s="397"/>
      <c r="M7" s="397"/>
      <c r="N7" s="397"/>
      <c r="O7" s="397"/>
      <c r="P7" s="397"/>
      <c r="Q7" s="397"/>
      <c r="R7" s="397"/>
      <c r="S7" s="397"/>
      <c r="T7" s="397"/>
      <c r="U7" s="397"/>
      <c r="V7" s="397"/>
      <c r="W7" s="397"/>
      <c r="X7" s="397"/>
      <c r="Y7" s="397"/>
      <c r="Z7" s="76"/>
      <c r="AA7" s="236"/>
    </row>
    <row r="8" spans="1:27" ht="12">
      <c r="A8" s="222" t="s">
        <v>103</v>
      </c>
      <c r="B8" s="95"/>
      <c r="C8" s="95">
        <v>0</v>
      </c>
      <c r="D8" s="95">
        <v>0</v>
      </c>
      <c r="E8" s="95">
        <v>0</v>
      </c>
      <c r="F8" s="95">
        <v>0</v>
      </c>
      <c r="G8" s="95">
        <v>0</v>
      </c>
      <c r="H8" s="95">
        <v>0</v>
      </c>
      <c r="I8" s="148">
        <v>0</v>
      </c>
      <c r="J8" s="148">
        <v>0</v>
      </c>
      <c r="K8" s="148">
        <v>0</v>
      </c>
      <c r="L8" s="148">
        <v>0</v>
      </c>
      <c r="M8" s="148">
        <v>0</v>
      </c>
      <c r="N8" s="148">
        <v>0</v>
      </c>
      <c r="O8" s="148">
        <v>0</v>
      </c>
      <c r="P8" s="148">
        <v>0</v>
      </c>
      <c r="Q8" s="148">
        <v>10842500</v>
      </c>
      <c r="R8" s="95">
        <v>0</v>
      </c>
      <c r="S8" s="267"/>
      <c r="T8" s="148">
        <v>0</v>
      </c>
      <c r="U8" s="148">
        <v>491236593.5</v>
      </c>
      <c r="V8" s="148">
        <v>467057690.5</v>
      </c>
      <c r="W8" s="164">
        <v>75815311</v>
      </c>
      <c r="X8" s="164">
        <v>303875370</v>
      </c>
      <c r="Y8" s="223">
        <v>166861717</v>
      </c>
      <c r="Z8" s="76">
        <v>453396662</v>
      </c>
      <c r="AA8" s="236">
        <v>418475905</v>
      </c>
    </row>
    <row r="9" spans="1:27" ht="12">
      <c r="A9" s="237" t="s">
        <v>104</v>
      </c>
      <c r="B9" s="381">
        <f>('2024 CF'!L33-162701150.67)</f>
        <v>233259099.99999997</v>
      </c>
      <c r="C9" s="381">
        <v>566577988.14999998</v>
      </c>
      <c r="D9" s="148">
        <v>376885778.55000007</v>
      </c>
      <c r="E9" s="148">
        <v>881763923.6500001</v>
      </c>
      <c r="F9" s="148">
        <v>760448009.70000005</v>
      </c>
      <c r="G9" s="148">
        <v>264771836</v>
      </c>
      <c r="H9" s="148">
        <v>184997155</v>
      </c>
      <c r="I9" s="148">
        <v>0</v>
      </c>
      <c r="J9" s="148">
        <v>0</v>
      </c>
      <c r="K9" s="148">
        <v>0</v>
      </c>
      <c r="L9" s="148">
        <v>31510000</v>
      </c>
      <c r="M9" s="148">
        <v>19870000</v>
      </c>
      <c r="N9" s="148">
        <v>0</v>
      </c>
      <c r="O9" s="148">
        <v>0</v>
      </c>
      <c r="P9" s="148">
        <v>78070000</v>
      </c>
      <c r="Q9" s="148">
        <v>562402275</v>
      </c>
      <c r="R9" s="148">
        <v>0</v>
      </c>
      <c r="S9" s="148">
        <v>51276200</v>
      </c>
      <c r="T9" s="148"/>
      <c r="U9" s="148">
        <v>76750929</v>
      </c>
      <c r="V9" s="148">
        <v>34450000</v>
      </c>
      <c r="W9" s="164">
        <v>0</v>
      </c>
      <c r="X9" s="164">
        <v>0</v>
      </c>
      <c r="Y9" s="223">
        <v>10450000</v>
      </c>
      <c r="Z9" s="76">
        <v>0</v>
      </c>
      <c r="AA9" s="236">
        <v>0</v>
      </c>
    </row>
    <row r="10" spans="1:27" ht="12">
      <c r="A10" s="237" t="s">
        <v>105</v>
      </c>
      <c r="B10" s="148"/>
      <c r="C10" s="148"/>
      <c r="D10" s="148">
        <v>0</v>
      </c>
      <c r="E10" s="148">
        <v>0</v>
      </c>
      <c r="F10" s="148">
        <v>0</v>
      </c>
      <c r="G10" s="148">
        <v>0</v>
      </c>
      <c r="H10" s="148">
        <v>0</v>
      </c>
      <c r="I10" s="148">
        <v>0</v>
      </c>
      <c r="J10" s="148">
        <v>0</v>
      </c>
      <c r="K10" s="148">
        <v>0</v>
      </c>
      <c r="L10" s="148">
        <v>0</v>
      </c>
      <c r="M10" s="148">
        <v>0</v>
      </c>
      <c r="N10" s="148">
        <v>0</v>
      </c>
      <c r="O10" s="148">
        <v>0</v>
      </c>
      <c r="P10" s="148">
        <v>0</v>
      </c>
      <c r="Q10" s="148">
        <v>0</v>
      </c>
      <c r="R10" s="148">
        <v>0</v>
      </c>
      <c r="S10" s="148">
        <v>30000000</v>
      </c>
      <c r="T10" s="148"/>
      <c r="U10" s="148"/>
      <c r="V10" s="148"/>
      <c r="W10" s="164"/>
      <c r="X10" s="164"/>
      <c r="Y10" s="223"/>
      <c r="Z10" s="76"/>
      <c r="AA10" s="236"/>
    </row>
    <row r="11" spans="1:27" ht="12">
      <c r="A11" s="222" t="s">
        <v>106</v>
      </c>
      <c r="B11" s="95"/>
      <c r="C11" s="95">
        <v>0</v>
      </c>
      <c r="D11" s="95">
        <v>58840720</v>
      </c>
      <c r="E11" s="95">
        <v>24000000</v>
      </c>
      <c r="F11" s="95">
        <v>104750371</v>
      </c>
      <c r="G11" s="95">
        <v>20623602</v>
      </c>
      <c r="H11" s="95">
        <v>0</v>
      </c>
      <c r="I11" s="95">
        <v>10153000</v>
      </c>
      <c r="J11" s="95">
        <v>15000000</v>
      </c>
      <c r="K11" s="95">
        <v>918015268.89999998</v>
      </c>
      <c r="L11" s="95">
        <v>260068279.56</v>
      </c>
      <c r="M11" s="95">
        <v>57500000</v>
      </c>
      <c r="N11" s="265">
        <v>31266000</v>
      </c>
      <c r="O11" s="95">
        <v>335757940</v>
      </c>
      <c r="P11" s="148">
        <v>228831078</v>
      </c>
      <c r="Q11" s="148">
        <v>95000000</v>
      </c>
      <c r="R11" s="95">
        <v>66142544</v>
      </c>
      <c r="S11" s="95">
        <v>54664820</v>
      </c>
      <c r="T11" s="148">
        <v>99000000</v>
      </c>
      <c r="U11" s="148">
        <v>59300014</v>
      </c>
      <c r="V11" s="148">
        <v>104136159</v>
      </c>
      <c r="W11" s="164">
        <v>197530000</v>
      </c>
      <c r="X11" s="164">
        <v>48528775</v>
      </c>
      <c r="Y11" s="223">
        <v>94209746</v>
      </c>
      <c r="Z11" s="76">
        <v>0</v>
      </c>
      <c r="AA11" s="236">
        <v>0</v>
      </c>
    </row>
    <row r="12" spans="1:27" ht="12">
      <c r="A12" s="237" t="s">
        <v>104</v>
      </c>
      <c r="B12" s="148">
        <f>'2023 CF'!L23+('2024 CF'!L33-247268934.33)+'2024 CF'!L41</f>
        <v>265990165.66999996</v>
      </c>
      <c r="C12" s="148">
        <v>241078280.40000001</v>
      </c>
      <c r="D12" s="148">
        <v>276425155</v>
      </c>
      <c r="E12" s="148">
        <v>487145473.05000001</v>
      </c>
      <c r="F12" s="148">
        <v>452344595</v>
      </c>
      <c r="G12" s="148">
        <v>692865165.5</v>
      </c>
      <c r="H12" s="148">
        <v>1214999246.9245</v>
      </c>
      <c r="I12" s="148">
        <v>1818210608.55</v>
      </c>
      <c r="J12" s="148">
        <v>713413832.36000001</v>
      </c>
      <c r="K12" s="148">
        <v>2111916905.6700001</v>
      </c>
      <c r="L12" s="148">
        <v>50000000</v>
      </c>
      <c r="M12" s="148">
        <v>1224590213</v>
      </c>
      <c r="N12" s="268">
        <v>695266000</v>
      </c>
      <c r="O12" s="148">
        <v>340000000</v>
      </c>
      <c r="P12" s="148">
        <v>455105100</v>
      </c>
      <c r="Q12" s="148">
        <v>249003434</v>
      </c>
      <c r="R12" s="148">
        <v>333000000</v>
      </c>
      <c r="S12" s="148">
        <v>190356000</v>
      </c>
      <c r="T12" s="148">
        <v>35240000</v>
      </c>
      <c r="U12" s="148">
        <v>0</v>
      </c>
      <c r="V12" s="148">
        <v>12629000</v>
      </c>
      <c r="W12" s="164">
        <v>0</v>
      </c>
      <c r="X12" s="164">
        <v>0</v>
      </c>
      <c r="Y12" s="223">
        <v>0</v>
      </c>
      <c r="Z12" s="76">
        <v>0</v>
      </c>
      <c r="AA12" s="236">
        <v>0</v>
      </c>
    </row>
    <row r="13" spans="1:27" ht="12">
      <c r="A13" s="237" t="s">
        <v>105</v>
      </c>
      <c r="B13" s="148"/>
      <c r="C13" s="148">
        <v>0</v>
      </c>
      <c r="D13" s="148">
        <v>0</v>
      </c>
      <c r="E13" s="148">
        <v>0</v>
      </c>
      <c r="F13" s="148">
        <v>0</v>
      </c>
      <c r="G13" s="148">
        <v>0</v>
      </c>
      <c r="H13" s="148">
        <v>0</v>
      </c>
      <c r="I13" s="148">
        <v>0</v>
      </c>
      <c r="J13" s="148">
        <v>0</v>
      </c>
      <c r="K13" s="148">
        <v>0</v>
      </c>
      <c r="L13" s="148">
        <v>0</v>
      </c>
      <c r="M13" s="148">
        <v>0</v>
      </c>
      <c r="N13" s="148">
        <v>0</v>
      </c>
      <c r="O13" s="148">
        <v>0</v>
      </c>
      <c r="P13" s="148">
        <v>0</v>
      </c>
      <c r="Q13" s="148">
        <v>0</v>
      </c>
      <c r="R13" s="148">
        <v>398500000</v>
      </c>
      <c r="S13" s="148">
        <v>235800000</v>
      </c>
      <c r="T13" s="148"/>
      <c r="U13" s="148"/>
      <c r="V13" s="148"/>
      <c r="W13" s="164"/>
      <c r="X13" s="164"/>
      <c r="Y13" s="223"/>
      <c r="Z13" s="76"/>
      <c r="AA13" s="236"/>
    </row>
    <row r="14" spans="1:27" ht="12">
      <c r="A14" s="222" t="s">
        <v>107</v>
      </c>
      <c r="B14" s="95"/>
      <c r="C14" s="95">
        <v>711648404</v>
      </c>
      <c r="D14" s="95">
        <v>878548895.08000004</v>
      </c>
      <c r="E14" s="95">
        <v>934333238.07000005</v>
      </c>
      <c r="F14" s="95">
        <v>1094580971.8899999</v>
      </c>
      <c r="G14" s="95">
        <v>1106663485</v>
      </c>
      <c r="H14" s="64">
        <v>989721000</v>
      </c>
      <c r="I14" s="95">
        <v>381157999</v>
      </c>
      <c r="J14" s="95">
        <v>225577000</v>
      </c>
      <c r="K14" s="95">
        <v>118240400</v>
      </c>
      <c r="L14" s="95">
        <v>225357000</v>
      </c>
      <c r="M14" s="95">
        <v>144676500</v>
      </c>
      <c r="N14" s="265">
        <v>80945000</v>
      </c>
      <c r="O14" s="95">
        <v>72480000</v>
      </c>
      <c r="P14" s="148">
        <v>90325000</v>
      </c>
      <c r="Q14" s="148">
        <v>7250000</v>
      </c>
      <c r="R14" s="95">
        <v>5275000</v>
      </c>
      <c r="S14" s="95">
        <v>0</v>
      </c>
      <c r="T14" s="148">
        <v>38530714</v>
      </c>
      <c r="U14" s="148">
        <v>266479282</v>
      </c>
      <c r="V14" s="148">
        <v>101592000</v>
      </c>
      <c r="W14" s="164">
        <v>108950000</v>
      </c>
      <c r="X14" s="164">
        <v>384700000</v>
      </c>
      <c r="Y14" s="224">
        <v>388626000</v>
      </c>
      <c r="Z14" s="76">
        <v>365185169</v>
      </c>
      <c r="AA14" s="236">
        <v>319584000</v>
      </c>
    </row>
    <row r="15" spans="1:27" ht="12">
      <c r="A15" s="237" t="s">
        <v>104</v>
      </c>
      <c r="B15" s="148">
        <f>'2025 CF'!L47+('2025 CF'!L50-30000000)+'2025 CF'!L54</f>
        <v>100000000</v>
      </c>
      <c r="C15" s="148">
        <v>820499000</v>
      </c>
      <c r="D15" s="148">
        <v>882051050.39999998</v>
      </c>
      <c r="E15" s="148">
        <v>769141541.85000002</v>
      </c>
      <c r="F15" s="148">
        <v>620934090.80999994</v>
      </c>
      <c r="G15" s="148">
        <v>950323728</v>
      </c>
      <c r="H15" s="148">
        <v>606871000</v>
      </c>
      <c r="I15" s="148">
        <v>663385001</v>
      </c>
      <c r="J15" s="148">
        <v>554545900</v>
      </c>
      <c r="K15" s="148">
        <v>482831600</v>
      </c>
      <c r="L15" s="148">
        <v>353473500</v>
      </c>
      <c r="M15" s="148">
        <v>352830000</v>
      </c>
      <c r="N15" s="268">
        <v>116150000</v>
      </c>
      <c r="O15" s="148">
        <v>100725000</v>
      </c>
      <c r="P15" s="148">
        <v>20100000</v>
      </c>
      <c r="Q15" s="148">
        <v>62625000</v>
      </c>
      <c r="R15" s="148">
        <v>31050000</v>
      </c>
      <c r="S15" s="95">
        <v>28690000</v>
      </c>
      <c r="T15" s="148">
        <v>86135000</v>
      </c>
      <c r="U15" s="148">
        <v>101789718</v>
      </c>
      <c r="V15" s="148">
        <v>329745562</v>
      </c>
      <c r="W15" s="164">
        <v>428150000</v>
      </c>
      <c r="X15" s="164">
        <v>97550000</v>
      </c>
      <c r="Y15" s="223">
        <v>123550000</v>
      </c>
      <c r="Z15" s="164">
        <v>0</v>
      </c>
      <c r="AA15" s="238">
        <v>0</v>
      </c>
    </row>
    <row r="16" spans="1:27" ht="12">
      <c r="A16" s="237" t="s">
        <v>105</v>
      </c>
      <c r="B16" s="148"/>
      <c r="C16" s="148">
        <v>0</v>
      </c>
      <c r="D16" s="148">
        <v>0</v>
      </c>
      <c r="E16" s="148">
        <v>0</v>
      </c>
      <c r="F16" s="148">
        <v>0</v>
      </c>
      <c r="G16" s="148">
        <v>0</v>
      </c>
      <c r="H16" s="148">
        <v>0</v>
      </c>
      <c r="I16" s="148">
        <v>0</v>
      </c>
      <c r="J16" s="148">
        <v>0</v>
      </c>
      <c r="K16" s="148">
        <v>0</v>
      </c>
      <c r="L16" s="148">
        <v>0</v>
      </c>
      <c r="M16" s="148">
        <v>0</v>
      </c>
      <c r="N16" s="148">
        <v>0</v>
      </c>
      <c r="O16" s="148">
        <v>0</v>
      </c>
      <c r="P16" s="148">
        <v>0</v>
      </c>
      <c r="Q16" s="148">
        <v>0</v>
      </c>
      <c r="R16" s="148">
        <v>0</v>
      </c>
      <c r="S16" s="148">
        <v>15700000</v>
      </c>
      <c r="T16" s="148"/>
      <c r="U16" s="148"/>
      <c r="V16" s="148"/>
      <c r="W16" s="164"/>
      <c r="X16" s="164"/>
      <c r="Y16" s="223"/>
      <c r="Z16" s="164"/>
      <c r="AA16" s="238"/>
    </row>
    <row r="17" spans="1:27" ht="12">
      <c r="A17" s="222" t="s">
        <v>108</v>
      </c>
      <c r="B17" s="95"/>
      <c r="C17" s="95"/>
      <c r="D17" s="95"/>
      <c r="E17" s="58"/>
      <c r="F17" s="58"/>
      <c r="G17" s="58"/>
      <c r="H17" s="58"/>
      <c r="I17" s="148">
        <v>0</v>
      </c>
      <c r="J17" s="148">
        <v>0</v>
      </c>
      <c r="K17" s="148">
        <v>0</v>
      </c>
      <c r="L17" s="148">
        <v>0</v>
      </c>
      <c r="M17" s="148">
        <v>0</v>
      </c>
      <c r="N17" s="148">
        <v>0</v>
      </c>
      <c r="O17" s="148">
        <v>0</v>
      </c>
      <c r="P17" s="148">
        <v>0</v>
      </c>
      <c r="Q17" s="148">
        <v>0</v>
      </c>
      <c r="R17" s="95">
        <v>0</v>
      </c>
      <c r="S17" s="95"/>
      <c r="T17" s="148"/>
      <c r="U17" s="95">
        <v>0</v>
      </c>
      <c r="V17" s="95">
        <v>0</v>
      </c>
      <c r="W17" s="164">
        <v>0</v>
      </c>
      <c r="X17" s="164">
        <v>0</v>
      </c>
      <c r="Y17" s="223">
        <v>0</v>
      </c>
      <c r="Z17" s="164">
        <v>0</v>
      </c>
      <c r="AA17" s="238">
        <v>0</v>
      </c>
    </row>
    <row r="18" spans="1:27" ht="12">
      <c r="A18" s="222" t="s">
        <v>3</v>
      </c>
      <c r="B18" s="95"/>
      <c r="C18" s="95">
        <v>0</v>
      </c>
      <c r="D18" s="95">
        <v>0</v>
      </c>
      <c r="E18" s="95">
        <v>0</v>
      </c>
      <c r="F18" s="95">
        <v>0</v>
      </c>
      <c r="G18" s="95">
        <v>0</v>
      </c>
      <c r="H18" s="95">
        <v>0</v>
      </c>
      <c r="I18" s="95">
        <v>20000000</v>
      </c>
      <c r="J18" s="148">
        <v>0</v>
      </c>
      <c r="K18" s="75">
        <v>8600000</v>
      </c>
      <c r="L18" s="75">
        <v>10000000</v>
      </c>
      <c r="M18" s="148">
        <v>0</v>
      </c>
      <c r="N18" s="265">
        <v>3650000</v>
      </c>
      <c r="O18" s="95">
        <v>1897830</v>
      </c>
      <c r="P18" s="148">
        <v>10000000</v>
      </c>
      <c r="Q18" s="148">
        <v>13300000</v>
      </c>
      <c r="R18" s="95">
        <v>3440000</v>
      </c>
      <c r="S18" s="95">
        <v>16043250</v>
      </c>
      <c r="T18" s="148">
        <v>40869207</v>
      </c>
      <c r="U18" s="148">
        <v>19402500</v>
      </c>
      <c r="V18" s="95">
        <v>0</v>
      </c>
      <c r="W18" s="164">
        <v>4225000</v>
      </c>
      <c r="X18" s="164">
        <v>10000000</v>
      </c>
      <c r="Y18" s="223">
        <v>3700000</v>
      </c>
      <c r="Z18" s="164">
        <v>0</v>
      </c>
      <c r="AA18" s="238">
        <v>0</v>
      </c>
    </row>
    <row r="19" spans="1:27" ht="12">
      <c r="A19" s="237" t="s">
        <v>104</v>
      </c>
      <c r="B19" s="148"/>
      <c r="C19" s="148">
        <v>0</v>
      </c>
      <c r="D19" s="148">
        <v>0</v>
      </c>
      <c r="E19" s="148">
        <v>0</v>
      </c>
      <c r="F19" s="148">
        <v>0</v>
      </c>
      <c r="G19" s="148">
        <v>0</v>
      </c>
      <c r="H19" s="148">
        <v>0</v>
      </c>
      <c r="I19" s="148">
        <v>0</v>
      </c>
      <c r="J19" s="148">
        <v>0</v>
      </c>
      <c r="K19" s="148">
        <v>0</v>
      </c>
      <c r="L19" s="148">
        <v>0</v>
      </c>
      <c r="M19" s="148">
        <v>0</v>
      </c>
      <c r="N19" s="148">
        <v>0</v>
      </c>
      <c r="O19" s="148">
        <v>0</v>
      </c>
      <c r="P19" s="148">
        <v>0</v>
      </c>
      <c r="Q19" s="148">
        <v>0</v>
      </c>
      <c r="R19" s="148">
        <v>0</v>
      </c>
      <c r="S19" s="95"/>
      <c r="T19" s="148"/>
      <c r="U19" s="95">
        <v>0</v>
      </c>
      <c r="V19" s="95">
        <v>0</v>
      </c>
      <c r="W19" s="164">
        <v>3000000</v>
      </c>
      <c r="X19" s="164">
        <v>0</v>
      </c>
      <c r="Y19" s="223">
        <v>0</v>
      </c>
      <c r="Z19" s="164">
        <v>0</v>
      </c>
      <c r="AA19" s="238">
        <v>0</v>
      </c>
    </row>
    <row r="20" spans="1:27" ht="12">
      <c r="A20" s="222" t="s">
        <v>109</v>
      </c>
      <c r="B20" s="266"/>
      <c r="C20" s="266">
        <v>249998395.19999999</v>
      </c>
      <c r="D20" s="95">
        <v>15000000</v>
      </c>
      <c r="E20" s="95">
        <v>100000000</v>
      </c>
      <c r="F20" s="95">
        <v>75000000</v>
      </c>
      <c r="G20" s="95">
        <v>100000000</v>
      </c>
      <c r="H20" s="95">
        <v>76870000</v>
      </c>
      <c r="I20" s="95">
        <v>75000000</v>
      </c>
      <c r="J20" s="95">
        <v>86430000</v>
      </c>
      <c r="K20" s="75">
        <v>0</v>
      </c>
      <c r="L20" s="75">
        <v>50000000</v>
      </c>
      <c r="M20" s="75">
        <v>53350000</v>
      </c>
      <c r="N20" s="269">
        <v>155360000</v>
      </c>
      <c r="O20" s="75">
        <v>40675827</v>
      </c>
      <c r="P20" s="75">
        <v>361535000</v>
      </c>
      <c r="Q20" s="75">
        <v>45000000</v>
      </c>
      <c r="R20" s="95">
        <v>445510316.30000001</v>
      </c>
      <c r="S20" s="95">
        <v>358800000</v>
      </c>
      <c r="T20" s="148">
        <v>658300000</v>
      </c>
      <c r="U20" s="148">
        <v>475235473</v>
      </c>
      <c r="V20" s="148">
        <v>519550000</v>
      </c>
      <c r="W20" s="164">
        <v>139425000</v>
      </c>
      <c r="X20" s="164">
        <v>189355000</v>
      </c>
      <c r="Y20" s="223">
        <v>391476662</v>
      </c>
      <c r="Z20" s="76">
        <v>391800000</v>
      </c>
      <c r="AA20" s="236">
        <v>384205000</v>
      </c>
    </row>
    <row r="21" spans="1:27" ht="12">
      <c r="A21" s="237" t="s">
        <v>104</v>
      </c>
      <c r="B21" s="148"/>
      <c r="C21" s="148">
        <v>25000000</v>
      </c>
      <c r="D21" s="148">
        <v>113000000</v>
      </c>
      <c r="E21" s="148">
        <v>66000000</v>
      </c>
      <c r="F21" s="148">
        <v>0</v>
      </c>
      <c r="G21" s="148">
        <v>0</v>
      </c>
      <c r="H21" s="148">
        <v>94030000</v>
      </c>
      <c r="I21" s="148">
        <v>25000000</v>
      </c>
      <c r="J21" s="148">
        <v>352115000</v>
      </c>
      <c r="K21" s="76">
        <v>0</v>
      </c>
      <c r="L21" s="76">
        <v>252885000</v>
      </c>
      <c r="M21" s="76">
        <v>0</v>
      </c>
      <c r="N21" s="76">
        <v>0</v>
      </c>
      <c r="O21" s="76">
        <v>0</v>
      </c>
      <c r="P21" s="76">
        <v>0</v>
      </c>
      <c r="Q21" s="76">
        <v>40200000</v>
      </c>
      <c r="R21" s="148">
        <v>143000000</v>
      </c>
      <c r="S21" s="95"/>
      <c r="T21" s="148"/>
      <c r="U21" s="148">
        <v>96499998</v>
      </c>
      <c r="V21" s="148">
        <v>205500000</v>
      </c>
      <c r="W21" s="164">
        <v>5200000</v>
      </c>
      <c r="X21" s="164">
        <v>0</v>
      </c>
      <c r="Y21" s="223">
        <v>22108338</v>
      </c>
      <c r="Z21" s="76">
        <v>0</v>
      </c>
      <c r="AA21" s="236">
        <v>0</v>
      </c>
    </row>
    <row r="22" spans="1:27" ht="12">
      <c r="A22" s="222" t="s">
        <v>110</v>
      </c>
      <c r="B22" s="266"/>
      <c r="C22" s="266">
        <v>150928342.5</v>
      </c>
      <c r="D22" s="95">
        <v>142036346.25</v>
      </c>
      <c r="E22" s="95">
        <v>0</v>
      </c>
      <c r="F22" s="95">
        <v>0</v>
      </c>
      <c r="G22" s="95">
        <v>68359729.400000006</v>
      </c>
      <c r="H22" s="95">
        <v>63258647.799999997</v>
      </c>
      <c r="I22" s="64">
        <v>46001315.149999999</v>
      </c>
      <c r="J22" s="76">
        <v>0</v>
      </c>
      <c r="K22" s="75">
        <v>0</v>
      </c>
      <c r="L22" s="75">
        <v>0</v>
      </c>
      <c r="M22" s="75">
        <v>0</v>
      </c>
      <c r="N22" s="75">
        <v>0</v>
      </c>
      <c r="O22" s="75">
        <v>0</v>
      </c>
      <c r="P22" s="75">
        <v>0</v>
      </c>
      <c r="Q22" s="75">
        <v>0</v>
      </c>
      <c r="R22" s="95">
        <v>85850000</v>
      </c>
      <c r="S22" s="95">
        <v>0</v>
      </c>
      <c r="T22" s="148">
        <v>58500000</v>
      </c>
      <c r="U22" s="148">
        <v>209759336</v>
      </c>
      <c r="V22" s="148">
        <v>191945000</v>
      </c>
      <c r="W22" s="164">
        <v>598050000</v>
      </c>
      <c r="X22" s="164">
        <v>296200000</v>
      </c>
      <c r="Y22" s="223">
        <v>140000000</v>
      </c>
      <c r="Z22" s="76">
        <v>139500000</v>
      </c>
      <c r="AA22" s="236">
        <v>136840000</v>
      </c>
    </row>
    <row r="23" spans="1:27" ht="12">
      <c r="A23" s="237" t="s">
        <v>104</v>
      </c>
      <c r="B23" s="148"/>
      <c r="C23" s="148">
        <v>0</v>
      </c>
      <c r="D23" s="148">
        <v>0</v>
      </c>
      <c r="E23" s="148">
        <v>43375000</v>
      </c>
      <c r="F23" s="148">
        <v>0</v>
      </c>
      <c r="G23" s="148">
        <v>0</v>
      </c>
      <c r="H23" s="148">
        <v>30032428.350000001</v>
      </c>
      <c r="I23" s="239">
        <v>19967571.649999999</v>
      </c>
      <c r="J23" s="76">
        <v>0</v>
      </c>
      <c r="K23" s="76">
        <v>0</v>
      </c>
      <c r="L23" s="76">
        <v>0</v>
      </c>
      <c r="M23" s="76">
        <v>0</v>
      </c>
      <c r="N23" s="76">
        <v>0</v>
      </c>
      <c r="O23" s="76">
        <v>0</v>
      </c>
      <c r="P23" s="76">
        <v>0</v>
      </c>
      <c r="Q23" s="76">
        <v>0</v>
      </c>
      <c r="R23" s="148">
        <v>208000000</v>
      </c>
      <c r="S23" s="95"/>
      <c r="T23" s="148"/>
      <c r="U23" s="148">
        <v>30645664</v>
      </c>
      <c r="V23" s="95">
        <v>0</v>
      </c>
      <c r="W23" s="164">
        <v>58000000</v>
      </c>
      <c r="X23" s="164">
        <v>0</v>
      </c>
      <c r="Y23" s="223">
        <v>0</v>
      </c>
      <c r="Z23" s="76">
        <v>0</v>
      </c>
      <c r="AA23" s="236">
        <v>0</v>
      </c>
    </row>
    <row r="24" spans="1:27" ht="12">
      <c r="A24" s="222" t="s">
        <v>111</v>
      </c>
      <c r="B24" s="266"/>
      <c r="C24" s="266">
        <v>99734175.049999997</v>
      </c>
      <c r="D24" s="95">
        <v>111958628.8</v>
      </c>
      <c r="E24" s="95">
        <v>141477004.5</v>
      </c>
      <c r="F24" s="95">
        <v>100422987.95</v>
      </c>
      <c r="G24" s="95">
        <v>177456005.59999999</v>
      </c>
      <c r="H24" s="267">
        <v>69990168.900000006</v>
      </c>
      <c r="I24" s="76">
        <v>0</v>
      </c>
      <c r="J24" s="76">
        <v>0</v>
      </c>
      <c r="K24" s="75">
        <v>170111691.94999999</v>
      </c>
      <c r="L24" s="75">
        <v>0</v>
      </c>
      <c r="M24" s="75">
        <v>0</v>
      </c>
      <c r="N24" s="75">
        <v>0</v>
      </c>
      <c r="O24" s="75">
        <v>0</v>
      </c>
      <c r="P24" s="75">
        <v>0</v>
      </c>
      <c r="Q24" s="75">
        <v>74994999.700000003</v>
      </c>
      <c r="R24" s="95">
        <v>95279609.400000006</v>
      </c>
      <c r="S24" s="95">
        <v>24999100.800000001</v>
      </c>
      <c r="T24" s="148">
        <v>74997184.099999994</v>
      </c>
      <c r="U24" s="148">
        <v>99999895.150000006</v>
      </c>
      <c r="V24" s="95">
        <v>0</v>
      </c>
      <c r="W24" s="164">
        <v>0</v>
      </c>
      <c r="X24" s="164">
        <v>25000000</v>
      </c>
      <c r="Y24" s="223">
        <v>100000000</v>
      </c>
      <c r="Z24" s="76">
        <v>120000000</v>
      </c>
      <c r="AA24" s="236" t="s">
        <v>131</v>
      </c>
    </row>
    <row r="25" spans="1:27" ht="12">
      <c r="A25" s="237" t="s">
        <v>104</v>
      </c>
      <c r="B25" s="148"/>
      <c r="C25" s="148">
        <v>0</v>
      </c>
      <c r="D25" s="148">
        <v>0</v>
      </c>
      <c r="E25" s="148">
        <v>0</v>
      </c>
      <c r="F25" s="148">
        <v>0</v>
      </c>
      <c r="G25" s="148">
        <v>0</v>
      </c>
      <c r="H25" s="148">
        <v>29724277</v>
      </c>
      <c r="I25" s="148">
        <v>170275723</v>
      </c>
      <c r="J25" s="76">
        <v>0</v>
      </c>
      <c r="K25" s="76">
        <v>501939.59999999404</v>
      </c>
      <c r="L25" s="76">
        <v>179995089.59999999</v>
      </c>
      <c r="M25" s="76">
        <v>169502970.80000001</v>
      </c>
      <c r="N25" s="8">
        <v>81144804</v>
      </c>
      <c r="O25" s="76">
        <v>143854150.80000001</v>
      </c>
      <c r="P25" s="76">
        <v>99995837.400000006</v>
      </c>
      <c r="Q25" s="76">
        <v>50000000</v>
      </c>
      <c r="R25" s="148">
        <v>144649500</v>
      </c>
      <c r="S25" s="148">
        <v>50000000</v>
      </c>
      <c r="T25" s="148">
        <v>0</v>
      </c>
      <c r="U25" s="148">
        <v>0</v>
      </c>
      <c r="V25" s="95">
        <v>0</v>
      </c>
      <c r="W25" s="164">
        <v>0</v>
      </c>
      <c r="X25" s="164">
        <v>0</v>
      </c>
      <c r="Y25" s="223">
        <v>0</v>
      </c>
      <c r="Z25" s="76"/>
      <c r="AA25" s="236"/>
    </row>
    <row r="26" spans="1:27" ht="12">
      <c r="A26" s="222" t="s">
        <v>112</v>
      </c>
      <c r="B26" s="95"/>
      <c r="C26" s="95">
        <v>0</v>
      </c>
      <c r="D26" s="95">
        <v>0</v>
      </c>
      <c r="E26" s="95">
        <v>0</v>
      </c>
      <c r="F26" s="95">
        <v>0</v>
      </c>
      <c r="G26" s="95">
        <v>0</v>
      </c>
      <c r="H26" s="148">
        <v>0</v>
      </c>
      <c r="I26" s="76">
        <v>0</v>
      </c>
      <c r="J26" s="76">
        <v>0</v>
      </c>
      <c r="K26" s="76">
        <v>0</v>
      </c>
      <c r="L26" s="76">
        <v>0</v>
      </c>
      <c r="M26" s="76">
        <v>0</v>
      </c>
      <c r="N26" s="76">
        <v>0</v>
      </c>
      <c r="O26" s="75">
        <v>742041688</v>
      </c>
      <c r="P26" s="75">
        <v>796507617.5999999</v>
      </c>
      <c r="Q26" s="75">
        <v>1107266939</v>
      </c>
      <c r="R26" s="148">
        <v>0.30000019073486328</v>
      </c>
      <c r="S26" s="95"/>
      <c r="T26" s="148">
        <v>18660702.037717462</v>
      </c>
      <c r="U26" s="148">
        <v>0</v>
      </c>
      <c r="V26" s="95">
        <v>0</v>
      </c>
      <c r="W26" s="164">
        <v>0</v>
      </c>
      <c r="X26" s="164">
        <v>0</v>
      </c>
      <c r="Y26" s="223">
        <v>0</v>
      </c>
      <c r="Z26" s="76">
        <v>0</v>
      </c>
      <c r="AA26" s="236">
        <v>0</v>
      </c>
    </row>
    <row r="27" spans="1:27" ht="12">
      <c r="A27" s="222" t="s">
        <v>113</v>
      </c>
      <c r="B27" s="95">
        <f>'2023 CF'!M38</f>
        <v>326486202.79999971</v>
      </c>
      <c r="C27" s="95">
        <v>61566161.709999993</v>
      </c>
      <c r="D27" s="95">
        <v>7194975.3899999987</v>
      </c>
      <c r="E27" s="95">
        <v>65002648</v>
      </c>
      <c r="F27" s="95">
        <v>25000000.400000006</v>
      </c>
      <c r="G27" s="95">
        <v>140357040</v>
      </c>
      <c r="H27" s="95">
        <v>82005055.920000136</v>
      </c>
      <c r="I27" s="125">
        <v>268187900</v>
      </c>
      <c r="J27" s="125">
        <v>474671500</v>
      </c>
      <c r="K27" s="75">
        <v>514835000</v>
      </c>
      <c r="L27" s="123">
        <v>299926000</v>
      </c>
      <c r="M27" s="123">
        <v>622583000</v>
      </c>
      <c r="N27" s="269">
        <v>347460208</v>
      </c>
      <c r="O27" s="76">
        <v>308292671</v>
      </c>
      <c r="P27" s="75">
        <v>853943988</v>
      </c>
      <c r="Q27" s="75">
        <v>520447605</v>
      </c>
      <c r="R27" s="95">
        <v>146632500.35000002</v>
      </c>
      <c r="S27" s="95">
        <v>236080000</v>
      </c>
      <c r="T27" s="95">
        <v>101327449</v>
      </c>
      <c r="U27" s="148">
        <v>49580000</v>
      </c>
      <c r="V27" s="148">
        <v>95000000</v>
      </c>
      <c r="W27" s="164">
        <v>39592476.549999997</v>
      </c>
      <c r="X27" s="164">
        <v>17850</v>
      </c>
      <c r="Y27" s="223">
        <v>0</v>
      </c>
      <c r="Z27" s="164">
        <v>0</v>
      </c>
      <c r="AA27" s="236"/>
    </row>
    <row r="28" spans="1:27" ht="12">
      <c r="A28" s="240" t="s">
        <v>114</v>
      </c>
      <c r="B28" s="1"/>
      <c r="C28" s="1"/>
      <c r="D28" s="1"/>
      <c r="E28" s="1"/>
      <c r="F28" s="1"/>
      <c r="G28" s="1"/>
      <c r="H28" s="1"/>
      <c r="I28" s="1"/>
      <c r="J28" s="1"/>
      <c r="K28" s="76"/>
      <c r="L28" s="1"/>
      <c r="M28" s="1"/>
      <c r="N28" s="1"/>
      <c r="O28" s="1"/>
      <c r="P28" s="1"/>
      <c r="Q28" s="1"/>
      <c r="R28" s="76"/>
      <c r="S28" s="249"/>
      <c r="T28" s="58"/>
      <c r="U28" s="95"/>
      <c r="V28" s="95"/>
      <c r="W28" s="241"/>
      <c r="X28" s="164">
        <v>39677181.549999997</v>
      </c>
      <c r="Y28" s="223"/>
      <c r="Z28" s="164"/>
      <c r="AA28" s="236"/>
    </row>
    <row r="29" spans="1:27" ht="12">
      <c r="A29" s="240" t="s">
        <v>115</v>
      </c>
      <c r="B29" s="1"/>
      <c r="C29" s="1"/>
      <c r="D29" s="1"/>
      <c r="E29" s="1"/>
      <c r="F29" s="76"/>
      <c r="G29" s="76"/>
      <c r="H29" s="1"/>
      <c r="I29" s="189"/>
      <c r="J29" s="189"/>
      <c r="K29" s="76"/>
      <c r="L29" s="1"/>
      <c r="M29" s="1"/>
      <c r="N29" s="1"/>
      <c r="O29" s="1"/>
      <c r="P29" s="1"/>
      <c r="Q29" s="1"/>
      <c r="R29" s="76"/>
      <c r="S29" s="249"/>
      <c r="T29" s="4"/>
      <c r="U29" s="75"/>
      <c r="V29" s="164"/>
      <c r="W29" s="164">
        <v>95000000</v>
      </c>
      <c r="X29" s="164">
        <v>98000000</v>
      </c>
      <c r="Y29" s="223"/>
      <c r="Z29" s="164"/>
      <c r="AA29" s="238"/>
    </row>
    <row r="30" spans="1:27" ht="12">
      <c r="A30" s="240" t="s">
        <v>116</v>
      </c>
      <c r="B30" s="1"/>
      <c r="C30" s="1"/>
      <c r="D30" s="1"/>
      <c r="E30" s="148"/>
      <c r="F30" s="76"/>
      <c r="G30" s="76"/>
      <c r="H30" s="1"/>
      <c r="I30" s="76"/>
      <c r="J30" s="76"/>
      <c r="K30" s="76"/>
      <c r="L30" s="1"/>
      <c r="M30" s="1"/>
      <c r="N30" s="1"/>
      <c r="O30" s="1"/>
      <c r="P30" s="1"/>
      <c r="Q30" s="76"/>
      <c r="R30" s="76"/>
      <c r="S30" s="249"/>
      <c r="T30" s="1"/>
      <c r="U30" s="76"/>
      <c r="V30" s="76">
        <v>104065280</v>
      </c>
      <c r="W30" s="76">
        <v>170515280</v>
      </c>
      <c r="X30" s="76">
        <v>661780575</v>
      </c>
      <c r="Y30" s="224"/>
      <c r="Z30" s="76"/>
      <c r="AA30" s="236"/>
    </row>
    <row r="31" spans="1:27" ht="12">
      <c r="A31" s="240" t="s">
        <v>117</v>
      </c>
      <c r="B31" s="1"/>
      <c r="C31" s="1"/>
      <c r="D31" s="1"/>
      <c r="E31" s="1"/>
      <c r="F31" s="1"/>
      <c r="G31" s="1"/>
      <c r="H31" s="1"/>
      <c r="I31" s="76"/>
      <c r="J31" s="76"/>
      <c r="K31" s="76"/>
      <c r="L31" s="1"/>
      <c r="M31" s="1"/>
      <c r="N31" s="1"/>
      <c r="O31" s="1"/>
      <c r="P31" s="1">
        <v>34.166666666666671</v>
      </c>
      <c r="Q31" s="76"/>
      <c r="R31" s="76"/>
      <c r="S31" s="249"/>
      <c r="T31" s="1"/>
      <c r="U31" s="76">
        <v>101327449</v>
      </c>
      <c r="V31" s="76">
        <v>159331887</v>
      </c>
      <c r="W31" s="76">
        <v>675206449</v>
      </c>
      <c r="X31" s="76"/>
      <c r="Y31" s="224">
        <v>385204031</v>
      </c>
      <c r="Z31" s="76">
        <v>192694519</v>
      </c>
      <c r="AA31" s="236">
        <v>63200000</v>
      </c>
    </row>
    <row r="32" spans="1:27" ht="12">
      <c r="A32" s="240" t="s">
        <v>118</v>
      </c>
      <c r="B32" s="1"/>
      <c r="C32" s="1"/>
      <c r="D32" s="1"/>
      <c r="E32" s="249"/>
      <c r="F32" s="1"/>
      <c r="G32" s="1"/>
      <c r="H32" s="1"/>
      <c r="I32" s="189"/>
      <c r="J32" s="189"/>
      <c r="K32" s="76"/>
      <c r="L32" s="76"/>
      <c r="M32" s="1"/>
      <c r="N32" s="1"/>
      <c r="O32" s="1"/>
      <c r="P32" s="1"/>
      <c r="Q32" s="76"/>
      <c r="R32" s="76"/>
      <c r="S32" s="249"/>
      <c r="T32" s="76">
        <v>236080000</v>
      </c>
      <c r="U32" s="76">
        <v>251080000</v>
      </c>
      <c r="V32" s="76">
        <v>444516590.5</v>
      </c>
      <c r="W32" s="76"/>
      <c r="X32" s="76"/>
      <c r="Y32" s="224"/>
      <c r="Z32" s="76"/>
      <c r="AA32" s="236"/>
    </row>
    <row r="33" spans="1:27" ht="12">
      <c r="A33" s="240" t="s">
        <v>119</v>
      </c>
      <c r="B33" s="1"/>
      <c r="C33" s="1"/>
      <c r="D33" s="1"/>
      <c r="E33" s="249"/>
      <c r="F33" s="1"/>
      <c r="G33" s="1"/>
      <c r="H33" s="1"/>
      <c r="I33" s="1"/>
      <c r="J33" s="1"/>
      <c r="K33" s="76"/>
      <c r="L33" s="1"/>
      <c r="M33" s="1"/>
      <c r="N33" s="1"/>
      <c r="O33" s="1"/>
      <c r="P33" s="1"/>
      <c r="Q33" s="76"/>
      <c r="R33" s="76"/>
      <c r="S33" s="249">
        <v>134538461.35000002</v>
      </c>
      <c r="T33" s="76">
        <v>270613461.35000002</v>
      </c>
      <c r="U33" s="76">
        <v>376748461.35000002</v>
      </c>
      <c r="V33" s="76"/>
      <c r="W33" s="76"/>
      <c r="X33" s="76"/>
      <c r="Y33" s="224"/>
      <c r="Z33" s="76"/>
      <c r="AA33" s="236"/>
    </row>
    <row r="34" spans="1:27" ht="12">
      <c r="A34" s="240" t="s">
        <v>120</v>
      </c>
      <c r="B34" s="1"/>
      <c r="C34" s="1"/>
      <c r="D34" s="1"/>
      <c r="E34" s="1"/>
      <c r="F34" s="1"/>
      <c r="G34" s="1"/>
      <c r="H34" s="1"/>
      <c r="I34" s="76"/>
      <c r="J34" s="76"/>
      <c r="K34" s="76"/>
      <c r="L34" s="1"/>
      <c r="M34" s="1"/>
      <c r="N34" s="1"/>
      <c r="O34" s="1"/>
      <c r="P34" s="1"/>
      <c r="Q34" s="76"/>
      <c r="R34" s="76">
        <v>548608539</v>
      </c>
      <c r="S34" s="249">
        <v>858767293</v>
      </c>
      <c r="T34" s="76">
        <v>1043014493</v>
      </c>
      <c r="U34" s="76"/>
      <c r="V34" s="76"/>
      <c r="W34" s="76"/>
      <c r="X34" s="76"/>
      <c r="Y34" s="224"/>
      <c r="Z34" s="76"/>
      <c r="AA34" s="236"/>
    </row>
    <row r="35" spans="1:27" ht="12">
      <c r="A35" s="240" t="s">
        <v>121</v>
      </c>
      <c r="B35" s="1"/>
      <c r="C35" s="1"/>
      <c r="D35" s="1"/>
      <c r="E35" s="1"/>
      <c r="F35" s="1"/>
      <c r="G35" s="1"/>
      <c r="H35" s="1"/>
      <c r="I35" s="76"/>
      <c r="J35" s="76"/>
      <c r="K35" s="76"/>
      <c r="L35" s="76"/>
      <c r="M35" s="1"/>
      <c r="N35" s="1"/>
      <c r="O35" s="1"/>
      <c r="P35" s="1"/>
      <c r="Q35" s="76">
        <v>862493038</v>
      </c>
      <c r="R35" s="76">
        <v>1223285704</v>
      </c>
      <c r="S35" s="249"/>
      <c r="T35" s="76"/>
      <c r="U35" s="76"/>
      <c r="V35" s="76"/>
      <c r="W35" s="76"/>
      <c r="X35" s="76"/>
      <c r="Y35" s="224"/>
      <c r="Z35" s="76"/>
      <c r="AA35" s="236"/>
    </row>
    <row r="36" spans="1:27" ht="12">
      <c r="A36" s="240" t="s">
        <v>122</v>
      </c>
      <c r="B36" s="1"/>
      <c r="C36" s="1"/>
      <c r="D36" s="1"/>
      <c r="E36" s="1"/>
      <c r="F36" s="1"/>
      <c r="G36" s="1"/>
      <c r="H36" s="1"/>
      <c r="I36" s="1"/>
      <c r="J36" s="1"/>
      <c r="K36" s="76"/>
      <c r="L36" s="1"/>
      <c r="M36" s="1"/>
      <c r="N36" s="1"/>
      <c r="O36" s="1"/>
      <c r="P36" s="1"/>
      <c r="Q36" s="76">
        <v>0</v>
      </c>
      <c r="R36" s="76">
        <v>0</v>
      </c>
      <c r="S36" s="249">
        <v>448500000</v>
      </c>
      <c r="T36" s="76">
        <v>730000000</v>
      </c>
      <c r="U36" s="76"/>
      <c r="V36" s="76"/>
      <c r="W36" s="76"/>
      <c r="X36" s="76"/>
      <c r="Y36" s="224"/>
      <c r="Z36" s="76"/>
      <c r="AA36" s="236"/>
    </row>
    <row r="37" spans="1:27" ht="12">
      <c r="A37" s="240" t="s">
        <v>123</v>
      </c>
      <c r="B37" s="1"/>
      <c r="C37" s="1"/>
      <c r="D37" s="1"/>
      <c r="E37" s="1"/>
      <c r="F37" s="1"/>
      <c r="G37" s="1"/>
      <c r="H37" s="1"/>
      <c r="I37" s="1"/>
      <c r="J37" s="1"/>
      <c r="K37" s="76"/>
      <c r="L37" s="1"/>
      <c r="M37" s="1"/>
      <c r="N37" s="249"/>
      <c r="O37" s="249"/>
      <c r="P37" s="249"/>
      <c r="Q37" s="76">
        <v>953632600.45000005</v>
      </c>
      <c r="R37" s="76"/>
      <c r="S37" s="249"/>
      <c r="T37" s="76"/>
      <c r="U37" s="76"/>
      <c r="V37" s="76"/>
      <c r="W37" s="76"/>
      <c r="X37" s="76"/>
      <c r="Y37" s="224"/>
      <c r="Z37" s="76"/>
      <c r="AA37" s="236"/>
    </row>
    <row r="38" spans="1:27" ht="12">
      <c r="A38" s="240" t="s">
        <v>124</v>
      </c>
      <c r="B38" s="1"/>
      <c r="C38" s="1"/>
      <c r="D38" s="1"/>
      <c r="E38" s="1"/>
      <c r="F38" s="1"/>
      <c r="G38" s="1"/>
      <c r="H38" s="76"/>
      <c r="I38" s="76"/>
      <c r="J38" s="1"/>
      <c r="K38" s="76"/>
      <c r="L38" s="76"/>
      <c r="M38" s="1"/>
      <c r="N38" s="76"/>
      <c r="O38" s="76">
        <v>578191224.79999995</v>
      </c>
      <c r="P38" s="249">
        <v>897459162.60000002</v>
      </c>
      <c r="Q38" s="76"/>
      <c r="R38" s="76"/>
      <c r="S38" s="249"/>
      <c r="T38" s="76"/>
      <c r="U38" s="76"/>
      <c r="V38" s="76"/>
      <c r="W38" s="76"/>
      <c r="X38" s="76"/>
      <c r="Y38" s="224"/>
      <c r="Z38" s="76"/>
      <c r="AA38" s="236"/>
    </row>
    <row r="39" spans="1:27" ht="12">
      <c r="A39" s="240" t="s">
        <v>125</v>
      </c>
      <c r="B39" s="1"/>
      <c r="C39" s="1"/>
      <c r="D39" s="1"/>
      <c r="E39" s="1"/>
      <c r="F39" s="1"/>
      <c r="G39" s="1"/>
      <c r="H39" s="1"/>
      <c r="I39" s="76"/>
      <c r="J39" s="1"/>
      <c r="K39" s="76"/>
      <c r="N39" s="8">
        <v>640700000</v>
      </c>
      <c r="O39" s="76">
        <v>771171000</v>
      </c>
      <c r="P39" s="249"/>
      <c r="Q39" s="76"/>
      <c r="R39" s="76"/>
      <c r="S39" s="249"/>
      <c r="T39" s="76"/>
      <c r="U39" s="76"/>
      <c r="V39" s="76"/>
      <c r="W39" s="76"/>
      <c r="X39" s="76"/>
      <c r="Y39" s="224"/>
      <c r="Z39" s="76"/>
      <c r="AA39" s="236"/>
    </row>
    <row r="40" spans="1:27" ht="12">
      <c r="A40" s="240" t="s">
        <v>126</v>
      </c>
      <c r="B40" s="1"/>
      <c r="C40" s="1"/>
      <c r="D40" s="1"/>
      <c r="E40" s="1"/>
      <c r="F40" s="1"/>
      <c r="G40" s="1"/>
      <c r="H40" s="1"/>
      <c r="I40" s="76"/>
      <c r="J40" s="76"/>
      <c r="K40" s="76"/>
      <c r="L40" s="76"/>
      <c r="M40" s="76">
        <v>299926000</v>
      </c>
      <c r="N40" s="8">
        <v>751412213</v>
      </c>
      <c r="O40" s="76"/>
      <c r="P40" s="249"/>
      <c r="Q40" s="76"/>
      <c r="R40" s="76"/>
      <c r="S40" s="249"/>
      <c r="T40" s="76"/>
      <c r="U40" s="76"/>
      <c r="V40" s="76"/>
      <c r="W40" s="76"/>
      <c r="X40" s="76"/>
      <c r="Y40" s="224"/>
      <c r="Z40" s="76"/>
      <c r="AA40" s="236"/>
    </row>
    <row r="41" spans="1:27" ht="12">
      <c r="A41" s="240" t="s">
        <v>127</v>
      </c>
      <c r="B41" s="1"/>
      <c r="C41" s="1"/>
      <c r="D41" s="1"/>
      <c r="E41" s="1"/>
      <c r="F41" s="1"/>
      <c r="G41" s="1"/>
      <c r="H41" s="1"/>
      <c r="I41" s="76"/>
      <c r="J41" s="1"/>
      <c r="K41" s="76"/>
      <c r="L41" s="76">
        <v>792403239.60000002</v>
      </c>
      <c r="M41" s="76">
        <v>1074408329.2</v>
      </c>
      <c r="O41" s="76"/>
      <c r="P41" s="249"/>
      <c r="Q41" s="76"/>
      <c r="R41" s="76"/>
      <c r="S41" s="249"/>
      <c r="T41" s="76"/>
      <c r="U41" s="76"/>
      <c r="V41" s="76"/>
      <c r="W41" s="76"/>
      <c r="X41" s="76"/>
      <c r="Y41" s="224"/>
      <c r="Z41" s="76"/>
      <c r="AA41" s="236"/>
    </row>
    <row r="42" spans="1:27" ht="12">
      <c r="A42" s="240" t="s">
        <v>145</v>
      </c>
      <c r="B42" s="1"/>
      <c r="C42" s="1"/>
      <c r="D42" s="1"/>
      <c r="E42" s="1"/>
      <c r="F42" s="1"/>
      <c r="G42" s="1"/>
      <c r="H42" s="1"/>
      <c r="I42" s="1"/>
      <c r="J42" s="1"/>
      <c r="K42" s="76">
        <v>826786500.33000004</v>
      </c>
      <c r="L42" s="76">
        <v>1854310800</v>
      </c>
      <c r="M42" s="9"/>
      <c r="N42" s="8"/>
      <c r="O42" s="76"/>
      <c r="P42" s="249"/>
      <c r="Q42" s="76"/>
      <c r="R42" s="76"/>
      <c r="S42" s="249"/>
      <c r="T42" s="76"/>
      <c r="U42" s="76"/>
      <c r="V42" s="76"/>
      <c r="W42" s="76"/>
      <c r="X42" s="76"/>
      <c r="Y42" s="224"/>
      <c r="Z42" s="76"/>
      <c r="AA42" s="236"/>
    </row>
    <row r="43" spans="1:27" ht="12">
      <c r="A43" s="240" t="s">
        <v>147</v>
      </c>
      <c r="B43" s="1"/>
      <c r="C43" s="1"/>
      <c r="D43" s="1"/>
      <c r="E43" s="1"/>
      <c r="F43" s="1"/>
      <c r="G43" s="1"/>
      <c r="H43" s="1"/>
      <c r="I43" s="76"/>
      <c r="J43" s="76">
        <v>356484900</v>
      </c>
      <c r="K43" s="76">
        <v>911328213.44000006</v>
      </c>
      <c r="M43" s="76"/>
      <c r="N43" s="8"/>
      <c r="O43" s="76"/>
      <c r="P43" s="249"/>
      <c r="Q43" s="76"/>
      <c r="R43" s="76"/>
      <c r="S43" s="249"/>
      <c r="T43" s="76"/>
      <c r="U43" s="76"/>
      <c r="V43" s="76"/>
      <c r="W43" s="76"/>
      <c r="X43" s="76"/>
      <c r="Y43" s="224"/>
      <c r="Z43" s="76"/>
      <c r="AA43" s="236"/>
    </row>
    <row r="44" spans="1:27" ht="12">
      <c r="A44" s="240" t="s">
        <v>150</v>
      </c>
      <c r="B44" s="1"/>
      <c r="C44" s="1"/>
      <c r="D44" s="1"/>
      <c r="E44" s="1"/>
      <c r="F44" s="1"/>
      <c r="G44" s="1"/>
      <c r="H44" s="76"/>
      <c r="I44" s="76">
        <v>127037484.27000013</v>
      </c>
      <c r="J44" s="76">
        <v>858175818.78999996</v>
      </c>
      <c r="L44" s="76"/>
      <c r="M44" s="76"/>
      <c r="N44" s="8"/>
      <c r="O44" s="76"/>
      <c r="P44" s="249"/>
      <c r="Q44" s="76"/>
      <c r="R44" s="76"/>
      <c r="S44" s="249"/>
      <c r="T44" s="76"/>
      <c r="U44" s="76"/>
      <c r="V44" s="76"/>
      <c r="W44" s="76"/>
      <c r="X44" s="76"/>
      <c r="Y44" s="224"/>
      <c r="Z44" s="76"/>
      <c r="AA44" s="236"/>
    </row>
    <row r="45" spans="1:27" ht="12">
      <c r="A45" s="240" t="s">
        <v>161</v>
      </c>
      <c r="B45" s="1"/>
      <c r="C45" s="1"/>
      <c r="D45" s="1"/>
      <c r="E45" s="1"/>
      <c r="F45" s="76"/>
      <c r="G45" s="76"/>
      <c r="H45" s="76">
        <v>295907040</v>
      </c>
      <c r="I45" s="76">
        <v>767572009.92449999</v>
      </c>
      <c r="K45" s="76"/>
      <c r="L45" s="76"/>
      <c r="M45" s="76"/>
      <c r="N45" s="8"/>
      <c r="O45" s="76"/>
      <c r="P45" s="249"/>
      <c r="Q45" s="76"/>
      <c r="R45" s="76"/>
      <c r="S45" s="249"/>
      <c r="T45" s="76"/>
      <c r="U45" s="76"/>
      <c r="V45" s="76"/>
      <c r="W45" s="76"/>
      <c r="X45" s="76"/>
      <c r="Y45" s="224"/>
      <c r="Z45" s="76"/>
      <c r="AA45" s="236"/>
    </row>
    <row r="46" spans="1:27" ht="12">
      <c r="A46" s="240" t="s">
        <v>158</v>
      </c>
      <c r="B46" s="1"/>
      <c r="C46" s="1"/>
      <c r="D46" s="1"/>
      <c r="E46" s="1"/>
      <c r="F46" s="249"/>
      <c r="G46" s="249">
        <v>101136362.40000001</v>
      </c>
      <c r="H46" s="76">
        <v>837424700.89999998</v>
      </c>
      <c r="I46" s="76"/>
      <c r="J46" s="76"/>
      <c r="K46" s="76"/>
      <c r="L46" s="76"/>
      <c r="M46" s="76"/>
      <c r="N46" s="8"/>
      <c r="O46" s="76"/>
      <c r="P46" s="249"/>
      <c r="Q46" s="76"/>
      <c r="R46" s="76"/>
      <c r="S46" s="249"/>
      <c r="T46" s="76"/>
      <c r="U46" s="76"/>
      <c r="V46" s="76"/>
      <c r="W46" s="76"/>
      <c r="X46" s="76"/>
      <c r="Y46" s="224"/>
      <c r="Z46" s="76"/>
      <c r="AA46" s="236"/>
    </row>
    <row r="47" spans="1:27" ht="12">
      <c r="A47" s="240" t="s">
        <v>169</v>
      </c>
      <c r="B47" s="1"/>
      <c r="C47" s="1"/>
      <c r="D47" s="1"/>
      <c r="E47" s="82"/>
      <c r="F47" s="76">
        <v>155457648</v>
      </c>
      <c r="G47" s="76">
        <v>828605297</v>
      </c>
      <c r="H47" s="76"/>
      <c r="I47" s="76"/>
      <c r="J47" s="76"/>
      <c r="K47" s="76"/>
      <c r="L47" s="76"/>
      <c r="M47" s="76"/>
      <c r="N47" s="8"/>
      <c r="O47" s="76"/>
      <c r="P47" s="249"/>
      <c r="Q47" s="76"/>
      <c r="R47" s="76"/>
      <c r="S47" s="249"/>
      <c r="T47" s="76"/>
      <c r="U47" s="76"/>
      <c r="V47" s="76"/>
      <c r="W47" s="76"/>
      <c r="X47" s="76"/>
      <c r="Y47" s="224"/>
      <c r="Z47" s="76"/>
      <c r="AA47" s="236"/>
    </row>
    <row r="48" spans="1:27" ht="12">
      <c r="A48" s="240" t="s">
        <v>225</v>
      </c>
      <c r="B48" s="1"/>
      <c r="C48" s="1"/>
      <c r="D48" s="1"/>
      <c r="E48" s="82">
        <v>72896025.790000007</v>
      </c>
      <c r="F48" s="76">
        <v>672137983.49000001</v>
      </c>
      <c r="G48" s="76"/>
      <c r="H48" s="76"/>
      <c r="I48" s="76"/>
      <c r="J48" s="76"/>
      <c r="K48" s="76"/>
      <c r="L48" s="76"/>
      <c r="M48" s="76"/>
      <c r="N48" s="8"/>
      <c r="O48" s="76"/>
      <c r="P48" s="249"/>
      <c r="Q48" s="76"/>
      <c r="R48" s="76"/>
      <c r="S48" s="249"/>
      <c r="T48" s="76"/>
      <c r="U48" s="76"/>
      <c r="V48" s="76"/>
      <c r="W48" s="76"/>
      <c r="X48" s="76"/>
      <c r="Y48" s="224"/>
      <c r="Z48" s="76"/>
      <c r="AA48" s="236"/>
    </row>
    <row r="49" spans="1:27" ht="12">
      <c r="A49" s="240" t="s">
        <v>246</v>
      </c>
      <c r="B49" s="9"/>
      <c r="C49" s="9"/>
      <c r="D49" s="9">
        <v>96566161.709999993</v>
      </c>
      <c r="E49" s="82">
        <v>315590198.31</v>
      </c>
      <c r="F49" s="76"/>
      <c r="G49" s="76"/>
      <c r="H49" s="76"/>
      <c r="I49" s="76"/>
      <c r="J49" s="76"/>
      <c r="K49" s="76"/>
      <c r="L49" s="76"/>
      <c r="M49" s="76"/>
      <c r="N49" s="8"/>
      <c r="O49" s="76"/>
      <c r="P49" s="249"/>
      <c r="Q49" s="76"/>
      <c r="R49" s="76"/>
      <c r="S49" s="249"/>
      <c r="T49" s="76"/>
      <c r="U49" s="76"/>
      <c r="V49" s="76"/>
      <c r="W49" s="76"/>
      <c r="X49" s="76"/>
      <c r="Y49" s="224"/>
      <c r="Z49" s="76"/>
      <c r="AA49" s="236"/>
    </row>
    <row r="50" spans="1:27" ht="12">
      <c r="A50" s="240" t="s">
        <v>294</v>
      </c>
      <c r="B50" s="9"/>
      <c r="C50" s="9">
        <v>417785052.1299997</v>
      </c>
      <c r="D50" s="9">
        <v>1040101500.4799997</v>
      </c>
      <c r="E50" s="82"/>
      <c r="F50" s="76"/>
      <c r="G50" s="76"/>
      <c r="H50" s="76"/>
      <c r="I50" s="76"/>
      <c r="J50" s="76"/>
      <c r="K50" s="76"/>
      <c r="L50" s="76"/>
      <c r="M50" s="76"/>
      <c r="N50" s="8"/>
      <c r="O50" s="76"/>
      <c r="P50" s="249"/>
      <c r="Q50" s="76"/>
      <c r="R50" s="76"/>
      <c r="S50" s="249"/>
      <c r="T50" s="76"/>
      <c r="U50" s="76"/>
      <c r="V50" s="76"/>
      <c r="W50" s="76"/>
      <c r="X50" s="76"/>
      <c r="Y50" s="224"/>
      <c r="Z50" s="76"/>
      <c r="AA50" s="236"/>
    </row>
    <row r="51" spans="1:27" ht="12">
      <c r="A51" s="240" t="s">
        <v>367</v>
      </c>
      <c r="B51" s="9">
        <f>'2024 CF'!M70</f>
        <v>917247898.33000004</v>
      </c>
      <c r="C51" s="9">
        <v>1610689214.6700001</v>
      </c>
      <c r="D51" s="9"/>
      <c r="E51" s="82"/>
      <c r="F51" s="76"/>
      <c r="G51" s="76"/>
      <c r="H51" s="76"/>
      <c r="I51" s="76"/>
      <c r="J51" s="76"/>
      <c r="K51" s="76"/>
      <c r="L51" s="76"/>
      <c r="M51" s="76"/>
      <c r="N51" s="8"/>
      <c r="O51" s="76"/>
      <c r="P51" s="249"/>
      <c r="Q51" s="76"/>
      <c r="R51" s="76"/>
      <c r="S51" s="249"/>
      <c r="T51" s="76"/>
      <c r="U51" s="76"/>
      <c r="V51" s="76"/>
      <c r="W51" s="76"/>
      <c r="X51" s="76"/>
      <c r="Y51" s="224"/>
      <c r="Z51" s="76"/>
      <c r="AA51" s="236"/>
    </row>
    <row r="52" spans="1:27" ht="12">
      <c r="A52" s="240" t="s">
        <v>419</v>
      </c>
      <c r="B52" s="9">
        <f>'2025 CF'!M90</f>
        <v>2311555976.25</v>
      </c>
      <c r="C52" s="9"/>
      <c r="D52" s="9"/>
      <c r="E52" s="82"/>
      <c r="F52" s="76"/>
      <c r="G52" s="76"/>
      <c r="H52" s="76"/>
      <c r="I52" s="76"/>
      <c r="J52" s="76"/>
      <c r="K52" s="76"/>
      <c r="L52" s="76"/>
      <c r="M52" s="76"/>
      <c r="N52" s="8"/>
      <c r="O52" s="76"/>
      <c r="P52" s="249"/>
      <c r="Q52" s="76"/>
      <c r="R52" s="76"/>
      <c r="S52" s="249"/>
      <c r="T52" s="76"/>
      <c r="U52" s="76"/>
      <c r="V52" s="76"/>
      <c r="W52" s="76"/>
      <c r="X52" s="76"/>
      <c r="Y52" s="224"/>
      <c r="Z52" s="76"/>
      <c r="AA52" s="236"/>
    </row>
    <row r="53" spans="1:27" ht="12">
      <c r="A53" s="240" t="s">
        <v>128</v>
      </c>
      <c r="B53" s="76"/>
      <c r="C53" s="76">
        <v>2855498713.25</v>
      </c>
      <c r="D53" s="76">
        <v>2606528034.8699999</v>
      </c>
      <c r="E53" s="82">
        <v>2403738397.4299998</v>
      </c>
      <c r="F53" s="76">
        <v>1873319179.1600001</v>
      </c>
      <c r="G53" s="76">
        <v>1756580668</v>
      </c>
      <c r="H53" s="76">
        <v>1844727688.3000002</v>
      </c>
      <c r="I53" s="76">
        <v>2481381410.8499999</v>
      </c>
      <c r="J53" s="76">
        <v>2644975579</v>
      </c>
      <c r="K53" s="76">
        <v>1571292238.1500001</v>
      </c>
      <c r="L53" s="76">
        <v>2201486119.4400001</v>
      </c>
      <c r="M53" s="76">
        <v>2440169300</v>
      </c>
      <c r="N53" s="8">
        <v>2373598300</v>
      </c>
      <c r="O53" s="76">
        <v>1282771000</v>
      </c>
      <c r="P53" s="249">
        <v>951896000</v>
      </c>
      <c r="Q53" s="76">
        <v>1135180000</v>
      </c>
      <c r="R53" s="76">
        <v>1528909710.3000002</v>
      </c>
      <c r="S53" s="249">
        <v>1734920489.2</v>
      </c>
      <c r="T53" s="76"/>
      <c r="U53" s="76"/>
      <c r="V53" s="76"/>
      <c r="W53" s="76"/>
      <c r="X53" s="76"/>
      <c r="Y53" s="224"/>
      <c r="Z53" s="76"/>
      <c r="AA53" s="236"/>
    </row>
    <row r="54" spans="1:27" ht="12">
      <c r="A54" s="240"/>
      <c r="B54" s="76">
        <f>SUM(B8:B53)</f>
        <v>4154539343.0499997</v>
      </c>
      <c r="C54" s="76">
        <v>7811003727.0599995</v>
      </c>
      <c r="D54" s="76">
        <v>6605137246.5299997</v>
      </c>
      <c r="E54" s="76">
        <v>6304463450.6499996</v>
      </c>
      <c r="F54" s="76">
        <v>5934395837.3999996</v>
      </c>
      <c r="G54" s="76">
        <v>6207742918.8999996</v>
      </c>
      <c r="H54" s="76">
        <v>6420558409.0945005</v>
      </c>
      <c r="I54" s="76">
        <v>6873330023.3945007</v>
      </c>
      <c r="J54" s="76">
        <v>6281389530.1499996</v>
      </c>
      <c r="K54" s="76">
        <v>7634459758.04</v>
      </c>
      <c r="L54" s="9">
        <v>6561415028.2000008</v>
      </c>
      <c r="M54" s="9">
        <v>6459406313</v>
      </c>
      <c r="N54" s="8">
        <v>5276952525</v>
      </c>
      <c r="O54" s="76">
        <v>4717858331.6000004</v>
      </c>
      <c r="P54" s="76">
        <v>5390400333.6000004</v>
      </c>
      <c r="Q54" s="76">
        <v>5789638391.1499996</v>
      </c>
      <c r="R54" s="76">
        <v>5407133423.6500006</v>
      </c>
      <c r="S54" s="249">
        <v>4469135614.3500004</v>
      </c>
      <c r="T54" s="76">
        <v>2761268210.4877172</v>
      </c>
      <c r="U54" s="76">
        <v>2705835313</v>
      </c>
      <c r="V54" s="76">
        <v>2769519169</v>
      </c>
      <c r="W54" s="76">
        <v>2598659516.5500002</v>
      </c>
      <c r="X54" s="76">
        <v>2154684751.5500002</v>
      </c>
      <c r="Y54" s="224">
        <v>1826186494</v>
      </c>
      <c r="Z54" s="76">
        <v>1662576350</v>
      </c>
      <c r="AA54" s="236">
        <v>1322304905</v>
      </c>
    </row>
    <row r="55" spans="1:27" ht="12.6" thickBot="1">
      <c r="A55" s="242"/>
      <c r="B55" s="377"/>
      <c r="C55" s="377"/>
      <c r="D55" s="377"/>
      <c r="E55" s="377"/>
      <c r="F55" s="336"/>
      <c r="G55" s="336"/>
      <c r="H55" s="243"/>
      <c r="I55" s="243"/>
      <c r="J55" s="243">
        <v>0.99999999971821518</v>
      </c>
      <c r="K55" s="243"/>
      <c r="L55" s="243"/>
      <c r="M55" s="243"/>
      <c r="N55" s="243"/>
      <c r="O55" s="243"/>
      <c r="P55" s="243"/>
      <c r="Q55" s="243"/>
      <c r="R55" s="243"/>
      <c r="S55" s="243"/>
      <c r="T55" s="243"/>
      <c r="U55" s="243"/>
      <c r="V55" s="243"/>
      <c r="W55" s="243"/>
      <c r="X55" s="243"/>
      <c r="Y55" s="244"/>
      <c r="Z55" s="245"/>
      <c r="AA55" s="246"/>
    </row>
    <row r="56" spans="1:27" ht="13.2">
      <c r="A56" s="1"/>
      <c r="B56" s="1"/>
      <c r="C56" s="1"/>
      <c r="D56" s="1"/>
      <c r="E56" s="1"/>
      <c r="F56" s="1"/>
      <c r="G56" s="1"/>
      <c r="H56" s="1">
        <v>0.9999999998520378</v>
      </c>
      <c r="I56" s="1">
        <v>1.0000000000879488</v>
      </c>
      <c r="J56" s="1"/>
      <c r="K56" s="1"/>
      <c r="L56" s="82">
        <v>4848200159.04</v>
      </c>
      <c r="M56" s="1"/>
      <c r="N56" s="1"/>
      <c r="O56" s="1"/>
      <c r="P56">
        <v>653270937.39999998</v>
      </c>
      <c r="Q56" s="247"/>
      <c r="R56" s="76"/>
      <c r="S56" s="76"/>
      <c r="T56" s="76"/>
      <c r="U56">
        <v>1621413093.6500001</v>
      </c>
      <c r="V56" s="76"/>
      <c r="W56" s="142"/>
      <c r="X56" s="142"/>
      <c r="AA56" s="248"/>
    </row>
    <row r="57" spans="1:27" ht="12">
      <c r="A57" t="s">
        <v>10</v>
      </c>
      <c r="L57" s="247"/>
      <c r="M57">
        <v>2440169300</v>
      </c>
      <c r="N57">
        <v>2373598300</v>
      </c>
      <c r="O57">
        <v>2024812688</v>
      </c>
      <c r="P57" s="76"/>
      <c r="Q57" s="247"/>
      <c r="R57" s="247">
        <v>1528909710.3000002</v>
      </c>
      <c r="S57">
        <v>1734920489.2</v>
      </c>
      <c r="T57" s="76">
        <v>18660702.037717462</v>
      </c>
      <c r="U57" s="76"/>
      <c r="V57">
        <v>1384280849.5</v>
      </c>
    </row>
    <row r="58" spans="1:27" ht="12">
      <c r="A58" s="1" t="s">
        <v>132</v>
      </c>
      <c r="B58" s="1"/>
      <c r="C58" s="1"/>
      <c r="D58" s="1"/>
      <c r="E58" s="1"/>
      <c r="F58" s="166">
        <v>1374754330.8399999</v>
      </c>
      <c r="G58" s="1">
        <v>1473102822</v>
      </c>
      <c r="H58" s="1">
        <v>1199839816.7</v>
      </c>
      <c r="I58" s="1">
        <v>532312314.14999998</v>
      </c>
      <c r="J58" s="1">
        <v>327007000</v>
      </c>
      <c r="K58" s="1">
        <v>1214967360.8499999</v>
      </c>
      <c r="L58" s="1">
        <v>545425279.55999994</v>
      </c>
      <c r="M58" s="76">
        <v>255526500</v>
      </c>
      <c r="N58" s="76">
        <v>271221000</v>
      </c>
      <c r="O58" s="76">
        <v>450811597</v>
      </c>
      <c r="P58">
        <v>690691078</v>
      </c>
      <c r="Q58" s="247">
        <v>246387499.69999999</v>
      </c>
      <c r="R58" s="76">
        <v>701497469.69999993</v>
      </c>
      <c r="S58" s="76">
        <v>454507170.80000001</v>
      </c>
      <c r="T58" s="76">
        <v>970197105.10000002</v>
      </c>
      <c r="U58">
        <v>1998161555</v>
      </c>
      <c r="V58" s="76">
        <v>1828797440</v>
      </c>
      <c r="W58" s="142">
        <v>1799201760</v>
      </c>
      <c r="X58" s="142">
        <v>1919439720</v>
      </c>
      <c r="Y58">
        <v>1670078156</v>
      </c>
    </row>
    <row r="59" spans="1:27" ht="12">
      <c r="A59" s="1" t="s">
        <v>133</v>
      </c>
      <c r="B59" s="1"/>
      <c r="C59" s="1"/>
      <c r="D59" s="1"/>
      <c r="E59" s="1"/>
      <c r="F59" s="166">
        <v>1833726695.51</v>
      </c>
      <c r="G59" s="76">
        <v>1907960729.5</v>
      </c>
      <c r="H59" s="76">
        <v>2160654107.2744999</v>
      </c>
      <c r="I59" s="76">
        <v>2665474904.2000003</v>
      </c>
      <c r="J59" s="76">
        <v>1620074732.3600001</v>
      </c>
      <c r="K59" s="76">
        <v>2595250445.27</v>
      </c>
      <c r="L59" s="76">
        <v>867863589.60000002</v>
      </c>
      <c r="M59" s="76">
        <v>1766793183.8</v>
      </c>
      <c r="N59" s="76">
        <v>892560804</v>
      </c>
      <c r="O59" s="76">
        <v>584579150.79999995</v>
      </c>
      <c r="P59" s="76">
        <v>653270937.39999998</v>
      </c>
      <c r="Q59" s="76">
        <v>964230709</v>
      </c>
      <c r="R59" s="76">
        <v>859699500</v>
      </c>
      <c r="S59" s="76">
        <v>320322200</v>
      </c>
      <c r="T59" s="76"/>
      <c r="U59" s="76"/>
      <c r="V59" s="76"/>
      <c r="W59" s="76"/>
      <c r="X59" s="76"/>
      <c r="Y59" s="76"/>
    </row>
    <row r="60" spans="1:27" ht="12">
      <c r="A60" s="1" t="s">
        <v>134</v>
      </c>
      <c r="B60" s="1"/>
      <c r="C60" s="1"/>
      <c r="D60" s="1"/>
      <c r="E60" s="1"/>
      <c r="F60" s="166"/>
      <c r="G60" s="76"/>
      <c r="H60" s="76"/>
      <c r="I60" s="76"/>
      <c r="J60" s="76"/>
      <c r="K60" s="76"/>
      <c r="L60" s="76"/>
      <c r="M60" s="76"/>
      <c r="N60" s="76"/>
      <c r="O60" s="76"/>
      <c r="P60" s="76"/>
      <c r="Q60" s="76"/>
      <c r="R60" s="76">
        <v>398500000</v>
      </c>
      <c r="S60" s="76">
        <v>281500000</v>
      </c>
      <c r="T60" s="76"/>
      <c r="V60" s="76"/>
      <c r="W60" s="76"/>
      <c r="X60" s="76"/>
      <c r="Y60" s="76"/>
    </row>
    <row r="61" spans="1:27" ht="12">
      <c r="A61" s="1" t="s">
        <v>135</v>
      </c>
      <c r="B61" s="1"/>
      <c r="C61" s="1"/>
      <c r="D61" s="1"/>
      <c r="E61" s="1"/>
      <c r="F61" s="166">
        <v>1873319179.1600001</v>
      </c>
      <c r="G61" s="1">
        <v>1756580668</v>
      </c>
      <c r="H61" s="1">
        <v>1844727688.3</v>
      </c>
      <c r="I61" s="76"/>
      <c r="J61" s="1"/>
      <c r="K61" s="1"/>
      <c r="L61" s="1"/>
      <c r="M61" s="1"/>
      <c r="N61" s="1"/>
      <c r="O61" s="1"/>
      <c r="P61">
        <v>1444090712.5999999</v>
      </c>
      <c r="Q61" s="247">
        <v>1382940643</v>
      </c>
      <c r="R61" s="76">
        <v>1918526743.3499999</v>
      </c>
      <c r="S61" s="76">
        <v>1677885754.3499999</v>
      </c>
      <c r="T61" s="76">
        <v>1772410403.3499999</v>
      </c>
      <c r="U61">
        <v>707673758</v>
      </c>
      <c r="V61" s="76">
        <v>940721729</v>
      </c>
      <c r="W61" s="76">
        <v>799457756.54999995</v>
      </c>
      <c r="X61" s="76">
        <v>235245031.55000001</v>
      </c>
      <c r="Y61" s="76">
        <v>156108338</v>
      </c>
    </row>
    <row r="62" spans="1:27" ht="12">
      <c r="A62" s="1"/>
      <c r="B62" s="1"/>
      <c r="C62" s="1"/>
      <c r="D62" s="1"/>
      <c r="E62" s="1"/>
      <c r="F62" s="166"/>
      <c r="G62" s="139"/>
      <c r="H62" s="139"/>
      <c r="I62" s="1"/>
      <c r="J62" s="1"/>
      <c r="K62" s="1"/>
      <c r="L62" s="1"/>
      <c r="M62" s="1"/>
      <c r="N62" s="1"/>
      <c r="O62" s="1"/>
      <c r="P62" s="249"/>
      <c r="Q62" s="76"/>
      <c r="R62" s="76">
        <v>5407133423.3500004</v>
      </c>
      <c r="S62" s="76">
        <v>4469135614.3500004</v>
      </c>
      <c r="T62" s="76">
        <v>2761268210.4877176</v>
      </c>
      <c r="U62" s="76">
        <v>2705835313</v>
      </c>
      <c r="V62" s="76">
        <v>2769519169</v>
      </c>
      <c r="W62" s="76">
        <v>2598659516.5500002</v>
      </c>
      <c r="X62" s="76">
        <v>2154684751.5500002</v>
      </c>
      <c r="Y62" s="76">
        <v>1826186494</v>
      </c>
    </row>
    <row r="63" spans="1:27" ht="12">
      <c r="F63" s="257"/>
      <c r="Q63" s="247"/>
      <c r="R63" s="76"/>
      <c r="S63" s="81"/>
      <c r="T63" s="81"/>
      <c r="U63" s="81"/>
      <c r="V63" s="81"/>
      <c r="W63" s="81"/>
      <c r="X63" s="81"/>
      <c r="Y63" s="81"/>
    </row>
    <row r="64" spans="1:27">
      <c r="A64" t="s">
        <v>136</v>
      </c>
      <c r="F64" s="257">
        <v>3208481026.3499999</v>
      </c>
      <c r="G64">
        <v>3381063551.5</v>
      </c>
      <c r="H64" s="247"/>
      <c r="K64">
        <v>3810217806.1199999</v>
      </c>
      <c r="N64" s="247"/>
      <c r="O64" s="247"/>
      <c r="P64">
        <v>1343962015.4000001</v>
      </c>
      <c r="Q64" s="247">
        <v>1210618208.7</v>
      </c>
      <c r="R64" s="247">
        <v>1959696969.6999998</v>
      </c>
      <c r="T64">
        <v>0.47748921283094414</v>
      </c>
      <c r="U64">
        <v>1</v>
      </c>
      <c r="V64">
        <v>1</v>
      </c>
    </row>
    <row r="65" spans="1:27" ht="12">
      <c r="A65" s="1"/>
      <c r="B65" s="1"/>
      <c r="C65" s="1"/>
      <c r="D65" s="1"/>
      <c r="E65" s="1"/>
      <c r="F65" s="76"/>
      <c r="G65" s="76"/>
      <c r="H65" s="1"/>
      <c r="I65" s="1"/>
      <c r="J65" s="1"/>
      <c r="K65" s="76"/>
      <c r="L65" s="1"/>
      <c r="M65" s="1"/>
      <c r="N65" s="1"/>
      <c r="O65" s="1"/>
      <c r="P65" s="76">
        <v>533175100</v>
      </c>
      <c r="Q65" s="76"/>
      <c r="R65" s="76"/>
      <c r="T65" s="250">
        <v>2.4307701250055427</v>
      </c>
      <c r="U65" s="250">
        <v>0.999660976358409</v>
      </c>
      <c r="V65" s="142">
        <v>1</v>
      </c>
    </row>
    <row r="66" spans="1:27" ht="12">
      <c r="K66">
        <v>-1.4901161193847656E-7</v>
      </c>
      <c r="P66" s="76"/>
      <c r="T66" s="250">
        <v>1.000086924188901</v>
      </c>
      <c r="U66" s="250">
        <v>0.9999113108571327</v>
      </c>
      <c r="V66" s="142">
        <v>1</v>
      </c>
      <c r="Z66" s="251"/>
    </row>
    <row r="67" spans="1:27" ht="12">
      <c r="H67" s="196"/>
      <c r="I67" s="196"/>
      <c r="J67" s="196">
        <v>1</v>
      </c>
      <c r="K67" s="247"/>
      <c r="L67">
        <v>0.82037716162898355</v>
      </c>
      <c r="T67" s="252"/>
      <c r="U67" s="252"/>
      <c r="V67" s="253"/>
      <c r="Z67" s="254"/>
    </row>
    <row r="68" spans="1:27" ht="12">
      <c r="A68" t="s">
        <v>137</v>
      </c>
      <c r="H68">
        <v>0</v>
      </c>
      <c r="I68">
        <v>0</v>
      </c>
      <c r="J68">
        <v>0.76999998092651367</v>
      </c>
      <c r="K68">
        <v>0.9999997615814209</v>
      </c>
      <c r="Z68" s="255"/>
    </row>
    <row r="69" spans="1:27" ht="12">
      <c r="A69" s="1" t="s">
        <v>138</v>
      </c>
      <c r="B69" s="1"/>
      <c r="C69" s="1"/>
      <c r="D69" s="1"/>
      <c r="E69" s="1"/>
      <c r="F69" s="1"/>
      <c r="G69" s="1"/>
      <c r="H69" s="82">
        <v>0.94999992847442627</v>
      </c>
      <c r="I69" s="82">
        <v>-0.6045001745223999</v>
      </c>
      <c r="J69" s="82"/>
      <c r="K69" s="76">
        <v>-8.9406967163085938E-8</v>
      </c>
      <c r="L69" s="76"/>
      <c r="M69" s="249"/>
      <c r="N69" s="249"/>
      <c r="O69" s="249"/>
      <c r="P69" s="249"/>
      <c r="Q69" s="249"/>
      <c r="R69" s="249"/>
      <c r="S69" s="249"/>
      <c r="T69" s="249"/>
      <c r="U69" s="249"/>
      <c r="V69" s="249"/>
      <c r="Z69" s="254"/>
    </row>
    <row r="70" spans="1:27" ht="12">
      <c r="A70" s="1"/>
      <c r="B70" s="1"/>
      <c r="C70" s="1"/>
      <c r="D70" s="1"/>
      <c r="E70" s="1"/>
      <c r="F70" s="1"/>
      <c r="G70" s="1"/>
      <c r="H70" s="76"/>
      <c r="I70" s="249"/>
      <c r="J70" s="249"/>
      <c r="K70" s="76"/>
      <c r="L70" s="76"/>
      <c r="M70" s="76"/>
      <c r="N70" s="249"/>
      <c r="O70" s="249"/>
      <c r="P70" s="249"/>
      <c r="Q70" s="249"/>
      <c r="R70" s="249"/>
      <c r="S70" s="249"/>
      <c r="T70" s="249"/>
      <c r="U70" s="249"/>
      <c r="V70" s="249"/>
      <c r="Z70" s="1"/>
    </row>
    <row r="71" spans="1:27">
      <c r="M71" s="247"/>
    </row>
    <row r="72" spans="1:27">
      <c r="K72">
        <v>2017</v>
      </c>
      <c r="L72">
        <v>2016</v>
      </c>
      <c r="M72" s="256">
        <v>2015</v>
      </c>
      <c r="N72" s="257">
        <v>2014</v>
      </c>
      <c r="O72" s="257">
        <v>2013</v>
      </c>
      <c r="P72">
        <v>2012</v>
      </c>
      <c r="Q72">
        <v>2011</v>
      </c>
      <c r="R72">
        <v>2010</v>
      </c>
      <c r="S72">
        <v>2009</v>
      </c>
      <c r="T72">
        <v>2008</v>
      </c>
      <c r="U72">
        <v>2007</v>
      </c>
      <c r="V72">
        <v>2006</v>
      </c>
      <c r="W72">
        <v>2005</v>
      </c>
      <c r="X72">
        <v>2004</v>
      </c>
      <c r="Y72">
        <v>2003</v>
      </c>
      <c r="Z72" t="s">
        <v>129</v>
      </c>
      <c r="AA72" t="s">
        <v>130</v>
      </c>
    </row>
    <row r="73" spans="1:27">
      <c r="A73" t="s">
        <v>56</v>
      </c>
      <c r="K73" s="210">
        <v>3029932174.5700002</v>
      </c>
      <c r="L73" s="210">
        <v>310068279.56</v>
      </c>
      <c r="M73" s="210">
        <v>1282090213</v>
      </c>
      <c r="N73" s="210">
        <v>726532000</v>
      </c>
      <c r="O73" s="210">
        <v>675757940</v>
      </c>
      <c r="P73" s="210">
        <v>762006178</v>
      </c>
      <c r="Q73" s="210">
        <v>917248209</v>
      </c>
      <c r="R73" s="210">
        <v>399142544</v>
      </c>
      <c r="S73" s="210">
        <v>326297020</v>
      </c>
      <c r="T73" s="210">
        <v>134240000</v>
      </c>
      <c r="U73" s="210">
        <v>627287536.5</v>
      </c>
      <c r="V73" s="210">
        <v>618272849.5</v>
      </c>
      <c r="W73" s="210">
        <v>273345311</v>
      </c>
      <c r="X73" s="210">
        <v>352404145</v>
      </c>
      <c r="Y73" s="210">
        <v>271521463</v>
      </c>
      <c r="Z73" s="210">
        <v>453396662</v>
      </c>
      <c r="AA73" s="210">
        <v>418475905</v>
      </c>
    </row>
    <row r="74" spans="1:27" ht="12">
      <c r="A74" s="1" t="s">
        <v>57</v>
      </c>
      <c r="B74" s="1"/>
      <c r="C74" s="1"/>
      <c r="D74" s="1"/>
      <c r="E74" s="1"/>
      <c r="F74" s="1"/>
      <c r="G74" s="1"/>
      <c r="H74" s="1"/>
      <c r="I74" s="1"/>
      <c r="J74" s="1"/>
      <c r="K74" s="247"/>
      <c r="L74" s="247"/>
      <c r="M74" s="247"/>
      <c r="N74" s="247"/>
      <c r="O74" s="247"/>
      <c r="P74" s="76">
        <v>99995837.400000006</v>
      </c>
      <c r="Q74" s="76">
        <v>124994999.7</v>
      </c>
      <c r="R74" s="76">
        <v>95279609.400000006</v>
      </c>
      <c r="S74" s="76">
        <v>24999100.800000001</v>
      </c>
      <c r="T74" s="76">
        <v>74997184.099999994</v>
      </c>
      <c r="U74" s="76">
        <v>99999895.150000006</v>
      </c>
      <c r="V74" s="76">
        <v>0</v>
      </c>
      <c r="W74" s="76">
        <v>0</v>
      </c>
      <c r="X74" s="76">
        <v>25000000</v>
      </c>
      <c r="Y74" s="76">
        <v>100000000</v>
      </c>
      <c r="Z74" s="76">
        <v>120000000</v>
      </c>
      <c r="AA74" s="76">
        <v>0</v>
      </c>
    </row>
    <row r="75" spans="1:27" ht="12">
      <c r="A75" s="1" t="s">
        <v>58</v>
      </c>
      <c r="B75" s="1"/>
      <c r="C75" s="1"/>
      <c r="D75" s="1"/>
      <c r="E75" s="1"/>
      <c r="F75" s="1"/>
      <c r="G75" s="1"/>
      <c r="H75" s="1"/>
      <c r="I75" s="1"/>
      <c r="J75" s="1"/>
      <c r="K75" s="1"/>
      <c r="L75" s="1"/>
      <c r="M75" s="1"/>
      <c r="N75" s="1"/>
      <c r="O75" s="1"/>
      <c r="P75" s="76">
        <v>10000000</v>
      </c>
      <c r="Q75" s="76">
        <v>13300000</v>
      </c>
      <c r="R75" s="76">
        <v>3440000</v>
      </c>
      <c r="S75" s="76">
        <v>16043250</v>
      </c>
      <c r="T75" s="76">
        <v>40869207</v>
      </c>
      <c r="U75" s="76">
        <v>19402500</v>
      </c>
      <c r="V75" s="76">
        <v>0</v>
      </c>
      <c r="W75" s="76">
        <v>7225000</v>
      </c>
      <c r="X75" s="76">
        <v>10000000</v>
      </c>
      <c r="Y75" s="76">
        <v>3700000</v>
      </c>
      <c r="Z75" s="76">
        <v>0</v>
      </c>
      <c r="AA75" s="76">
        <v>0</v>
      </c>
    </row>
    <row r="76" spans="1:27" ht="12">
      <c r="A76" s="1" t="s">
        <v>59</v>
      </c>
      <c r="B76" s="1"/>
      <c r="C76" s="1"/>
      <c r="D76" s="1"/>
      <c r="E76" s="1"/>
      <c r="F76" s="1"/>
      <c r="G76" s="1"/>
      <c r="H76" s="1"/>
      <c r="I76" s="1"/>
      <c r="J76" s="1"/>
      <c r="K76" s="1">
        <v>601072000</v>
      </c>
      <c r="L76" s="1">
        <v>578830500</v>
      </c>
      <c r="M76" s="1">
        <v>497506500</v>
      </c>
      <c r="N76" s="1">
        <v>197095000</v>
      </c>
      <c r="O76" s="1">
        <v>173205000</v>
      </c>
      <c r="P76" s="76">
        <v>110425000</v>
      </c>
      <c r="Q76" s="76">
        <v>69875000</v>
      </c>
      <c r="R76" s="76">
        <v>36325000</v>
      </c>
      <c r="S76" s="76">
        <v>28690000</v>
      </c>
      <c r="T76" s="76">
        <v>124665714</v>
      </c>
      <c r="U76" s="76">
        <v>368269000</v>
      </c>
      <c r="V76" s="76">
        <v>431337562</v>
      </c>
      <c r="W76" s="76">
        <v>537100000</v>
      </c>
      <c r="X76" s="76">
        <v>482250000</v>
      </c>
      <c r="Y76" s="76">
        <v>512176000</v>
      </c>
      <c r="Z76" s="76">
        <v>365185169</v>
      </c>
      <c r="AA76" s="76">
        <v>319584000</v>
      </c>
    </row>
    <row r="77" spans="1:27" ht="12">
      <c r="A77" s="1" t="s">
        <v>60</v>
      </c>
      <c r="B77" s="1"/>
      <c r="C77" s="1"/>
      <c r="D77" s="1"/>
      <c r="E77" s="1"/>
      <c r="F77" s="1"/>
      <c r="G77" s="1"/>
      <c r="H77" s="1"/>
      <c r="I77" s="1"/>
      <c r="J77" s="1"/>
      <c r="K77" s="76"/>
      <c r="L77" s="76"/>
      <c r="M77" s="76"/>
      <c r="N77" s="76"/>
      <c r="O77" s="76"/>
      <c r="P77" s="76">
        <v>0</v>
      </c>
      <c r="Q77" s="76">
        <v>0</v>
      </c>
      <c r="R77" s="76">
        <v>293850000</v>
      </c>
      <c r="S77" s="76">
        <v>0</v>
      </c>
      <c r="T77" s="76">
        <v>58500000</v>
      </c>
      <c r="U77" s="76">
        <v>240405000</v>
      </c>
      <c r="V77" s="76">
        <v>191945000</v>
      </c>
      <c r="W77" s="76">
        <v>656050000</v>
      </c>
      <c r="X77" s="76">
        <v>296200000</v>
      </c>
      <c r="Y77" s="76">
        <v>140000000</v>
      </c>
      <c r="Z77" s="76">
        <v>139500000</v>
      </c>
      <c r="AA77" s="76">
        <v>136840000</v>
      </c>
    </row>
    <row r="78" spans="1:27" ht="12">
      <c r="A78" s="1" t="s">
        <v>61</v>
      </c>
      <c r="B78" s="1"/>
      <c r="C78" s="1"/>
      <c r="D78" s="1"/>
      <c r="E78" s="1"/>
      <c r="F78" s="1"/>
      <c r="G78" s="1"/>
      <c r="H78" s="1"/>
      <c r="I78" s="1"/>
      <c r="J78" s="1"/>
      <c r="K78" s="1"/>
      <c r="L78" s="1"/>
      <c r="M78" s="1"/>
      <c r="N78" s="1"/>
      <c r="O78" s="1"/>
      <c r="P78" s="76">
        <v>361535000</v>
      </c>
      <c r="Q78" s="76">
        <v>85200000</v>
      </c>
      <c r="R78" s="76">
        <v>588510316.29999995</v>
      </c>
      <c r="S78" s="76">
        <v>358800000</v>
      </c>
      <c r="T78" s="76">
        <v>658300000</v>
      </c>
      <c r="U78" s="76">
        <v>571735471</v>
      </c>
      <c r="V78" s="76">
        <v>725050000</v>
      </c>
      <c r="W78" s="76">
        <v>144625000</v>
      </c>
      <c r="X78" s="76">
        <v>189355000</v>
      </c>
      <c r="Y78" s="76">
        <v>413585000</v>
      </c>
      <c r="Z78" s="76">
        <v>391800000</v>
      </c>
      <c r="AA78" s="76">
        <v>384205000</v>
      </c>
    </row>
    <row r="79" spans="1:27" ht="12">
      <c r="A79" s="1" t="s">
        <v>139</v>
      </c>
      <c r="B79" s="1"/>
      <c r="C79" s="1"/>
      <c r="D79" s="1"/>
      <c r="E79" s="1"/>
      <c r="F79" s="1"/>
      <c r="G79" s="1"/>
      <c r="H79" s="1"/>
      <c r="I79" s="1"/>
      <c r="J79" s="1"/>
      <c r="K79" s="1"/>
      <c r="L79" s="1"/>
      <c r="M79" s="1"/>
      <c r="N79" s="1"/>
      <c r="O79" s="1"/>
      <c r="P79" s="76">
        <v>853943988</v>
      </c>
      <c r="Q79" s="76">
        <v>520447605</v>
      </c>
      <c r="R79" s="76">
        <v>146632500.35000002</v>
      </c>
      <c r="S79" s="76">
        <v>236080000</v>
      </c>
      <c r="T79" s="76">
        <v>101327449</v>
      </c>
      <c r="U79" s="76">
        <v>49580000</v>
      </c>
      <c r="V79" s="76">
        <v>95000000</v>
      </c>
      <c r="W79" s="76">
        <v>39592476.549999997</v>
      </c>
      <c r="X79" s="76">
        <v>17850</v>
      </c>
      <c r="Y79" s="76">
        <v>0</v>
      </c>
      <c r="Z79" s="76">
        <v>0</v>
      </c>
      <c r="AA79" s="76">
        <v>0</v>
      </c>
    </row>
    <row r="80" spans="1:27" ht="12">
      <c r="A80" s="1"/>
      <c r="B80" s="1"/>
      <c r="C80" s="1"/>
      <c r="D80" s="1"/>
      <c r="E80" s="1"/>
      <c r="F80" s="1"/>
      <c r="G80" s="1"/>
      <c r="H80" s="1"/>
      <c r="I80" s="1"/>
      <c r="J80" s="1"/>
      <c r="K80" s="1"/>
      <c r="L80" s="1"/>
      <c r="M80" s="1"/>
      <c r="N80" s="1"/>
      <c r="O80" s="1"/>
      <c r="P80" s="76">
        <v>2395986712.5999999</v>
      </c>
      <c r="Q80" s="76">
        <v>2088812600.45</v>
      </c>
      <c r="R80" s="76">
        <v>1563179970.0499997</v>
      </c>
      <c r="S80" s="76">
        <v>990909370.79999995</v>
      </c>
      <c r="T80" s="76">
        <v>1192899554.0999999</v>
      </c>
      <c r="U80" s="76">
        <v>1976679402.6500001</v>
      </c>
      <c r="V80" s="76">
        <v>2061605411.5</v>
      </c>
      <c r="W80" s="76">
        <v>1657937787.55</v>
      </c>
      <c r="X80" s="76">
        <v>1355226995</v>
      </c>
      <c r="Y80" s="76">
        <v>1440982463</v>
      </c>
      <c r="Z80" s="76">
        <v>1469881831</v>
      </c>
      <c r="AA80" s="76">
        <v>1259104905</v>
      </c>
    </row>
    <row r="81" spans="1:27" ht="12">
      <c r="L81">
        <v>4848200159.04</v>
      </c>
      <c r="P81" s="249"/>
      <c r="Q81" s="249"/>
      <c r="R81" s="76">
        <v>3092089680.3499999</v>
      </c>
      <c r="S81" s="76"/>
      <c r="T81" s="76"/>
      <c r="U81" s="76"/>
      <c r="V81" s="76"/>
      <c r="W81" s="76"/>
      <c r="X81" s="76"/>
      <c r="Y81" s="76"/>
      <c r="Z81" s="76"/>
      <c r="AA81" s="76"/>
    </row>
    <row r="82" spans="1:27" ht="12">
      <c r="L82" s="247"/>
      <c r="R82" s="82"/>
    </row>
    <row r="83" spans="1:27">
      <c r="A83" t="s">
        <v>140</v>
      </c>
    </row>
    <row r="84" spans="1:27" ht="12">
      <c r="A84" s="1" t="s">
        <v>56</v>
      </c>
      <c r="B84" s="1"/>
      <c r="C84" s="1"/>
      <c r="D84" s="1"/>
      <c r="E84" s="1"/>
      <c r="F84" s="1"/>
      <c r="G84" s="1"/>
      <c r="H84" s="1"/>
      <c r="I84" s="1"/>
      <c r="J84" s="1"/>
      <c r="K84" s="1"/>
      <c r="L84" s="1"/>
      <c r="M84" s="1"/>
      <c r="N84" s="1"/>
      <c r="O84" s="1"/>
      <c r="P84">
        <v>228831078</v>
      </c>
      <c r="Q84">
        <v>105842500</v>
      </c>
      <c r="R84">
        <v>66142544</v>
      </c>
      <c r="S84">
        <v>54664820</v>
      </c>
      <c r="T84">
        <v>99000000</v>
      </c>
    </row>
    <row r="85" spans="1:27" ht="12">
      <c r="A85" s="1" t="s">
        <v>57</v>
      </c>
      <c r="B85" s="1"/>
      <c r="C85" s="1"/>
      <c r="D85" s="1"/>
      <c r="E85" s="1"/>
      <c r="F85" s="1"/>
      <c r="G85" s="1"/>
      <c r="H85" s="1"/>
      <c r="I85" s="1"/>
      <c r="J85" s="1"/>
      <c r="K85" s="1"/>
      <c r="L85" s="1"/>
      <c r="M85" s="1"/>
      <c r="N85" s="1"/>
      <c r="O85" s="1"/>
      <c r="P85" s="82">
        <v>0</v>
      </c>
      <c r="Q85" s="82">
        <v>74994999.700000003</v>
      </c>
      <c r="R85" s="82">
        <v>95279609.400000006</v>
      </c>
      <c r="S85" s="82">
        <v>24999100.800000001</v>
      </c>
      <c r="T85" s="82">
        <v>74997184.099999994</v>
      </c>
    </row>
    <row r="86" spans="1:27" ht="12">
      <c r="A86" s="1" t="s">
        <v>58</v>
      </c>
      <c r="B86" s="1"/>
      <c r="C86" s="1"/>
      <c r="D86" s="1"/>
      <c r="E86" s="1"/>
      <c r="F86" s="1"/>
      <c r="G86" s="1"/>
      <c r="H86" s="1"/>
      <c r="I86" s="1"/>
      <c r="J86" s="1"/>
      <c r="K86" s="1"/>
      <c r="L86" s="1"/>
      <c r="M86" s="1"/>
      <c r="N86" s="1"/>
      <c r="O86" s="1"/>
      <c r="P86" s="249">
        <v>10000000</v>
      </c>
      <c r="Q86" s="249">
        <v>13300000</v>
      </c>
      <c r="R86" s="249">
        <v>3440000</v>
      </c>
      <c r="S86" s="249">
        <v>16043250</v>
      </c>
      <c r="T86" s="249">
        <v>40869207</v>
      </c>
    </row>
    <row r="87" spans="1:27" ht="12">
      <c r="A87" s="1" t="s">
        <v>59</v>
      </c>
      <c r="B87" s="1"/>
      <c r="C87" s="1"/>
      <c r="D87" s="1"/>
      <c r="E87" s="1"/>
      <c r="F87" s="1"/>
      <c r="G87" s="1"/>
      <c r="H87" s="1"/>
      <c r="I87" s="1"/>
      <c r="J87" s="1"/>
      <c r="K87" s="1"/>
      <c r="L87" s="1"/>
      <c r="M87" s="1"/>
      <c r="N87" s="1"/>
      <c r="O87" s="1"/>
      <c r="P87" s="249">
        <v>90325000</v>
      </c>
      <c r="Q87" s="249">
        <v>7250000</v>
      </c>
      <c r="R87" s="249">
        <v>5275000</v>
      </c>
      <c r="S87" s="249">
        <v>0</v>
      </c>
      <c r="T87" s="249">
        <v>38530714</v>
      </c>
    </row>
    <row r="88" spans="1:27" ht="12">
      <c r="A88" s="1" t="s">
        <v>60</v>
      </c>
      <c r="B88" s="1"/>
      <c r="C88" s="1"/>
      <c r="D88" s="1"/>
      <c r="E88" s="1"/>
      <c r="F88" s="1"/>
      <c r="G88" s="1"/>
      <c r="H88" s="1"/>
      <c r="I88" s="1"/>
      <c r="J88" s="1"/>
      <c r="K88" s="1"/>
      <c r="L88" s="1"/>
      <c r="M88" s="1"/>
      <c r="N88" s="1"/>
      <c r="O88" s="1"/>
      <c r="P88" s="249">
        <v>0</v>
      </c>
      <c r="Q88" s="249">
        <v>0</v>
      </c>
      <c r="R88" s="249">
        <v>85850000</v>
      </c>
      <c r="S88" s="249">
        <v>0</v>
      </c>
      <c r="T88" s="249">
        <v>58500000</v>
      </c>
    </row>
    <row r="89" spans="1:27" ht="12">
      <c r="A89" s="1" t="s">
        <v>61</v>
      </c>
      <c r="B89" s="1"/>
      <c r="C89" s="1"/>
      <c r="D89" s="1"/>
      <c r="E89" s="1"/>
      <c r="F89" s="1"/>
      <c r="G89" s="1"/>
      <c r="H89" s="1"/>
      <c r="I89" s="1"/>
      <c r="J89" s="1"/>
      <c r="K89" s="1"/>
      <c r="L89" s="1"/>
      <c r="M89" s="1"/>
      <c r="N89" s="1"/>
      <c r="O89" s="1"/>
      <c r="P89" s="249">
        <v>361535000</v>
      </c>
      <c r="Q89" s="249">
        <v>45000000</v>
      </c>
      <c r="R89" s="249">
        <v>445510316.30000001</v>
      </c>
      <c r="S89" s="249">
        <v>358800000</v>
      </c>
      <c r="T89" s="249">
        <v>658300000</v>
      </c>
    </row>
    <row r="90" spans="1:27" ht="12">
      <c r="A90" s="1" t="s">
        <v>77</v>
      </c>
      <c r="B90" s="1"/>
      <c r="C90" s="1"/>
      <c r="D90" s="1"/>
      <c r="E90" s="1"/>
      <c r="F90" s="1"/>
      <c r="G90" s="1"/>
      <c r="H90" s="1"/>
      <c r="I90" s="1"/>
      <c r="J90" s="1"/>
      <c r="K90" s="1"/>
      <c r="L90" s="1"/>
      <c r="M90" s="1"/>
      <c r="N90" s="1"/>
      <c r="O90" s="1"/>
      <c r="P90" s="249">
        <v>951896000</v>
      </c>
      <c r="Q90" s="249">
        <v>1135180000</v>
      </c>
      <c r="R90" s="249">
        <v>1528909710.3000002</v>
      </c>
      <c r="S90" s="249">
        <v>1734920489.2</v>
      </c>
      <c r="T90" s="249">
        <v>1043014493</v>
      </c>
    </row>
    <row r="91" spans="1:27" ht="12">
      <c r="A91" s="1"/>
      <c r="B91" s="1"/>
      <c r="C91" s="1"/>
      <c r="D91" s="1"/>
      <c r="E91" s="1"/>
      <c r="F91" s="1"/>
      <c r="G91" s="1"/>
      <c r="H91" s="1"/>
      <c r="I91" s="1"/>
      <c r="J91" s="1"/>
      <c r="K91" s="1"/>
      <c r="L91" s="1"/>
      <c r="M91" s="1"/>
      <c r="N91" s="1"/>
      <c r="O91" s="1"/>
      <c r="P91" s="249"/>
      <c r="Q91" s="249">
        <v>1381567499.7</v>
      </c>
      <c r="R91" s="249">
        <v>2230407180</v>
      </c>
      <c r="S91" s="249">
        <v>2189427660</v>
      </c>
      <c r="T91" s="249">
        <v>2013211598.0999999</v>
      </c>
    </row>
    <row r="92" spans="1:27" ht="12">
      <c r="Q92" s="82"/>
      <c r="R92" s="82"/>
      <c r="S92" s="82"/>
      <c r="T92" s="82"/>
    </row>
    <row r="93" spans="1:27">
      <c r="Q93">
        <v>-1007260795.3</v>
      </c>
      <c r="R93">
        <v>0</v>
      </c>
      <c r="S93">
        <v>0</v>
      </c>
      <c r="T93">
        <v>-18660701.900000095</v>
      </c>
    </row>
    <row r="94" spans="1:27" ht="12">
      <c r="Q94" s="82"/>
      <c r="R94" s="82"/>
      <c r="S94" s="82"/>
      <c r="T94" s="82"/>
    </row>
    <row r="96" spans="1:27">
      <c r="K96">
        <v>4325052806.1199999</v>
      </c>
      <c r="L96">
        <v>1713214869.1599998</v>
      </c>
      <c r="M96">
        <v>2644902683.8000002</v>
      </c>
      <c r="N96">
        <v>1511242012</v>
      </c>
      <c r="O96">
        <v>2085725106.8</v>
      </c>
      <c r="P96">
        <v>2994413621</v>
      </c>
      <c r="Q96">
        <v>2838332752.6999998</v>
      </c>
      <c r="R96">
        <v>2106329470.3500004</v>
      </c>
      <c r="S96">
        <v>1292409370.8</v>
      </c>
      <c r="T96">
        <v>1211560256.1377172</v>
      </c>
      <c r="U96">
        <v>1976679402.6500001</v>
      </c>
      <c r="V96">
        <v>2061605411.5</v>
      </c>
      <c r="W96">
        <v>1657937787.55</v>
      </c>
    </row>
    <row r="97" spans="1:23">
      <c r="K97" s="247">
        <v>22723182948.867718</v>
      </c>
      <c r="L97" s="247">
        <v>20374809545.39772</v>
      </c>
      <c r="M97" s="247"/>
      <c r="N97" s="247"/>
      <c r="O97" s="247"/>
      <c r="P97" s="247"/>
      <c r="Q97" s="247"/>
      <c r="R97" s="247"/>
      <c r="S97" s="247"/>
      <c r="T97" s="247"/>
      <c r="U97" s="247"/>
      <c r="V97" s="247"/>
      <c r="W97" s="247"/>
    </row>
    <row r="98" spans="1:23">
      <c r="K98" s="247"/>
      <c r="L98" s="247"/>
    </row>
    <row r="99" spans="1:23">
      <c r="A99" t="s">
        <v>173</v>
      </c>
      <c r="H99">
        <v>82005055.920000136</v>
      </c>
    </row>
    <row r="100" spans="1:23">
      <c r="A100" t="s">
        <v>174</v>
      </c>
      <c r="H100" s="247">
        <v>2160654107.2744999</v>
      </c>
    </row>
    <row r="101" spans="1:23">
      <c r="A101" t="s">
        <v>175</v>
      </c>
      <c r="H101" s="247">
        <v>1133331740.9000001</v>
      </c>
    </row>
    <row r="102" spans="1:23">
      <c r="A102" t="s">
        <v>176</v>
      </c>
      <c r="H102" s="247">
        <v>1748704688</v>
      </c>
    </row>
    <row r="103" spans="1:23">
      <c r="A103" t="s">
        <v>177</v>
      </c>
      <c r="H103" s="247">
        <v>96023000.300000072</v>
      </c>
    </row>
    <row r="104" spans="1:23">
      <c r="A104" t="s">
        <v>178</v>
      </c>
      <c r="H104" s="299">
        <v>1844727688.3000002</v>
      </c>
    </row>
    <row r="105" spans="1:23">
      <c r="A105" t="s">
        <v>179</v>
      </c>
      <c r="H105" s="247">
        <v>1199839816.7</v>
      </c>
    </row>
    <row r="106" spans="1:23">
      <c r="H106" s="247"/>
    </row>
    <row r="107" spans="1:23">
      <c r="A107" t="s">
        <v>180</v>
      </c>
      <c r="H107">
        <v>3044567505</v>
      </c>
    </row>
    <row r="108" spans="1:23">
      <c r="A108" t="s">
        <v>181</v>
      </c>
      <c r="H108" s="300">
        <v>6420558409.0944996</v>
      </c>
    </row>
    <row r="109" spans="1:23">
      <c r="H109" s="300"/>
    </row>
  </sheetData>
  <phoneticPr fontId="3"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9F26-206D-4EAD-9D63-C0C08CFEF9BD}">
  <sheetPr codeName="Sheet7"/>
  <dimension ref="A1:U36"/>
  <sheetViews>
    <sheetView zoomScaleNormal="100" workbookViewId="0">
      <selection activeCell="H17" sqref="H17"/>
    </sheetView>
  </sheetViews>
  <sheetFormatPr defaultColWidth="9" defaultRowHeight="12"/>
  <cols>
    <col min="1" max="1" width="8.375" style="1" customWidth="1"/>
    <col min="2" max="2" width="6.625" style="1" bestFit="1" customWidth="1"/>
    <col min="3" max="3" width="9.25" style="1" bestFit="1" customWidth="1"/>
    <col min="4" max="4" width="13.25" style="1" bestFit="1" customWidth="1"/>
    <col min="5" max="5" width="32" style="1" bestFit="1" customWidth="1"/>
    <col min="6" max="6" width="46.375" style="1" customWidth="1"/>
    <col min="7" max="7" width="15.625" style="1" customWidth="1"/>
    <col min="8" max="8" width="16.375" style="1" customWidth="1"/>
    <col min="9" max="9" width="14" style="1" bestFit="1" customWidth="1"/>
    <col min="10" max="10" width="16.25" style="1" customWidth="1"/>
    <col min="11" max="11" width="15.75" style="1" bestFit="1" customWidth="1"/>
    <col min="12" max="12" width="14.25" style="3" customWidth="1"/>
    <col min="13" max="13" width="9.875" style="3" bestFit="1" customWidth="1"/>
    <col min="14" max="14" width="15.75" style="1" bestFit="1" customWidth="1"/>
    <col min="15" max="15" width="9.875" style="3" bestFit="1" customWidth="1"/>
    <col min="16" max="16" width="13.75" style="1" bestFit="1" customWidth="1"/>
    <col min="17" max="17" width="15.125" style="1" bestFit="1" customWidth="1"/>
    <col min="18" max="18" width="9.75" style="1" customWidth="1"/>
    <col min="19" max="19" width="9.125" style="13" bestFit="1" customWidth="1"/>
    <col min="20" max="20" width="41.625" style="1" bestFit="1" customWidth="1"/>
    <col min="21" max="21" width="34.375" style="1" bestFit="1" customWidth="1"/>
    <col min="22" max="16384" width="9" style="1"/>
  </cols>
  <sheetData>
    <row r="1" spans="1:21">
      <c r="A1" s="314">
        <v>43326</v>
      </c>
      <c r="B1" s="314"/>
      <c r="C1" s="314"/>
      <c r="D1" s="309"/>
      <c r="E1" s="427">
        <f>'SC1 MRB'!H16+'SC2 State Voted'!H14+'SC3 Small Issue IDBs'!H14+'SC4 TSAHC'!H14+'SC4 MF- TDHCA'!H15+'SC4 MF- Local Collapse'!H18+'SC5 OTHER'!H55</f>
        <v>2821786260</v>
      </c>
      <c r="F1" s="18"/>
      <c r="G1" s="18"/>
      <c r="H1" s="310"/>
      <c r="I1" s="310"/>
      <c r="J1" s="310"/>
      <c r="K1" s="19"/>
      <c r="L1" s="22"/>
      <c r="M1" s="353"/>
      <c r="N1" s="21"/>
      <c r="O1" s="22"/>
      <c r="P1" s="19"/>
      <c r="Q1" s="19"/>
      <c r="R1" s="6"/>
      <c r="S1" s="17"/>
      <c r="T1" s="282"/>
    </row>
    <row r="2" spans="1:21">
      <c r="A2" s="48" t="s">
        <v>182</v>
      </c>
      <c r="B2" s="48"/>
      <c r="C2" s="48"/>
      <c r="D2" s="5"/>
      <c r="E2" s="26"/>
      <c r="F2" s="26"/>
      <c r="G2" s="26"/>
      <c r="H2" s="311"/>
      <c r="I2" s="311"/>
      <c r="J2" s="311"/>
      <c r="K2" s="27"/>
      <c r="L2" s="11"/>
      <c r="M2" s="354"/>
      <c r="N2" s="36"/>
      <c r="O2" s="11"/>
      <c r="P2" s="27"/>
      <c r="Q2" s="27"/>
      <c r="R2" s="6"/>
      <c r="S2" s="5"/>
      <c r="T2" s="283"/>
    </row>
    <row r="3" spans="1:21">
      <c r="C3" s="48"/>
      <c r="D3" s="5"/>
      <c r="E3" s="26"/>
      <c r="F3" s="26"/>
      <c r="G3" s="26"/>
      <c r="H3" s="311"/>
      <c r="I3" s="311"/>
      <c r="J3" s="311"/>
      <c r="K3" s="27"/>
      <c r="L3" s="11"/>
      <c r="M3" s="11"/>
      <c r="N3" s="27"/>
      <c r="O3" s="11"/>
      <c r="P3" s="27"/>
      <c r="Q3" s="27"/>
      <c r="R3" s="6"/>
      <c r="S3" s="1"/>
      <c r="T3" s="284"/>
    </row>
    <row r="4" spans="1:21">
      <c r="A4" s="31" t="s">
        <v>203</v>
      </c>
      <c r="B4" s="5" t="s">
        <v>205</v>
      </c>
      <c r="C4" s="5" t="s">
        <v>32</v>
      </c>
      <c r="D4" s="5" t="s">
        <v>37</v>
      </c>
      <c r="E4" s="5" t="s">
        <v>31</v>
      </c>
      <c r="F4" s="5" t="s">
        <v>49</v>
      </c>
      <c r="G4" s="5" t="s">
        <v>45</v>
      </c>
      <c r="H4" s="258" t="s">
        <v>23</v>
      </c>
      <c r="I4" s="114" t="s">
        <v>38</v>
      </c>
      <c r="J4" s="73" t="s">
        <v>51</v>
      </c>
      <c r="K4" s="32" t="s">
        <v>8</v>
      </c>
      <c r="L4" s="6" t="s">
        <v>14</v>
      </c>
      <c r="M4" s="6" t="s">
        <v>34</v>
      </c>
      <c r="N4" s="32" t="s">
        <v>4</v>
      </c>
      <c r="O4" s="6" t="s">
        <v>183</v>
      </c>
      <c r="P4" s="32" t="s">
        <v>27</v>
      </c>
      <c r="Q4" s="32" t="s">
        <v>44</v>
      </c>
      <c r="R4" s="6" t="s">
        <v>22</v>
      </c>
      <c r="S4" s="5" t="s">
        <v>171</v>
      </c>
      <c r="T4" s="30" t="s">
        <v>264</v>
      </c>
    </row>
    <row r="5" spans="1:21">
      <c r="A5" s="31" t="s">
        <v>204</v>
      </c>
      <c r="B5" s="5" t="s">
        <v>204</v>
      </c>
      <c r="C5" s="5" t="s">
        <v>48</v>
      </c>
      <c r="D5" s="13"/>
      <c r="E5" s="5"/>
      <c r="F5" s="26"/>
      <c r="G5" s="26"/>
      <c r="H5" s="258" t="s">
        <v>42</v>
      </c>
      <c r="I5" s="114" t="s">
        <v>46</v>
      </c>
      <c r="J5" s="73" t="s">
        <v>42</v>
      </c>
      <c r="K5" s="32" t="s">
        <v>42</v>
      </c>
      <c r="L5" s="6" t="s">
        <v>9</v>
      </c>
      <c r="M5" s="6" t="s">
        <v>18</v>
      </c>
      <c r="N5" s="32" t="s">
        <v>42</v>
      </c>
      <c r="O5" s="6" t="s">
        <v>18</v>
      </c>
      <c r="P5" s="32" t="s">
        <v>42</v>
      </c>
      <c r="Q5" s="32" t="s">
        <v>42</v>
      </c>
      <c r="R5" s="6" t="s">
        <v>5</v>
      </c>
      <c r="S5" s="5" t="s">
        <v>170</v>
      </c>
      <c r="T5" s="30" t="s">
        <v>265</v>
      </c>
    </row>
    <row r="6" spans="1:21" ht="12.6" thickBot="1">
      <c r="A6" s="38"/>
      <c r="B6" s="38"/>
      <c r="C6" s="33" t="s">
        <v>172</v>
      </c>
      <c r="D6" s="38"/>
      <c r="E6" s="33"/>
      <c r="F6" s="39"/>
      <c r="G6" s="39"/>
      <c r="H6" s="312"/>
      <c r="I6" s="312"/>
      <c r="J6" s="312"/>
      <c r="K6" s="55"/>
      <c r="L6" s="40"/>
      <c r="M6" s="40"/>
      <c r="N6" s="55"/>
      <c r="O6" s="40"/>
      <c r="P6" s="55"/>
      <c r="Q6" s="55"/>
      <c r="R6" s="55" t="s">
        <v>9</v>
      </c>
      <c r="S6" s="38"/>
      <c r="T6" s="376" t="s">
        <v>9</v>
      </c>
    </row>
    <row r="7" spans="1:21" s="13" customFormat="1">
      <c r="F7" s="36"/>
      <c r="G7" s="36"/>
      <c r="H7" s="286"/>
      <c r="I7" s="286"/>
      <c r="J7" s="10"/>
      <c r="K7" s="10"/>
      <c r="L7" s="350"/>
      <c r="M7" s="350"/>
      <c r="N7" s="286"/>
      <c r="O7" s="350"/>
      <c r="P7" s="286"/>
      <c r="Q7" s="10"/>
      <c r="R7" s="92"/>
    </row>
    <row r="8" spans="1:21" s="13" customFormat="1">
      <c r="F8" s="36"/>
      <c r="G8" s="36"/>
      <c r="H8" s="286"/>
      <c r="I8" s="286"/>
      <c r="J8" s="10"/>
      <c r="K8" s="11"/>
      <c r="L8" s="350"/>
      <c r="M8" s="350"/>
      <c r="N8" s="286"/>
      <c r="O8" s="350"/>
      <c r="P8" s="11"/>
      <c r="R8" s="92"/>
      <c r="T8" s="43"/>
    </row>
    <row r="9" spans="1:21" s="13" customFormat="1">
      <c r="F9" s="36"/>
      <c r="G9" s="36"/>
      <c r="H9" s="286"/>
      <c r="I9" s="286"/>
      <c r="J9" s="10"/>
      <c r="K9" s="10"/>
      <c r="L9" s="350"/>
      <c r="M9" s="350"/>
      <c r="N9" s="286"/>
      <c r="O9" s="350"/>
      <c r="P9" s="12"/>
      <c r="R9" s="92"/>
      <c r="T9" s="468"/>
    </row>
    <row r="10" spans="1:21" s="13" customFormat="1">
      <c r="F10" s="36"/>
      <c r="G10" s="36"/>
      <c r="H10" s="409"/>
      <c r="I10" s="286"/>
      <c r="J10" s="409"/>
      <c r="K10" s="67"/>
      <c r="L10" s="350"/>
      <c r="M10" s="350"/>
      <c r="N10" s="286"/>
      <c r="O10" s="350"/>
      <c r="P10" s="286"/>
      <c r="Q10" s="67"/>
      <c r="R10" s="11"/>
      <c r="S10" s="67"/>
    </row>
    <row r="11" spans="1:21" s="474" customFormat="1">
      <c r="F11" s="475"/>
      <c r="G11" s="475"/>
      <c r="H11" s="479"/>
      <c r="I11" s="476"/>
      <c r="J11" s="479"/>
      <c r="K11" s="482"/>
      <c r="L11" s="477"/>
      <c r="M11" s="477"/>
      <c r="N11" s="480"/>
      <c r="O11" s="477"/>
      <c r="P11" s="476"/>
      <c r="Q11" s="482"/>
      <c r="R11" s="478"/>
      <c r="U11" s="439"/>
    </row>
    <row r="12" spans="1:21" s="5" customFormat="1" ht="13.5" customHeight="1">
      <c r="H12" s="396"/>
      <c r="I12" s="344"/>
      <c r="J12" s="341"/>
      <c r="K12" s="341"/>
      <c r="L12" s="6"/>
      <c r="M12" s="6"/>
      <c r="N12" s="341"/>
      <c r="O12" s="6"/>
      <c r="P12" s="341"/>
      <c r="Q12" s="52"/>
      <c r="R12" s="6"/>
      <c r="U12" s="371"/>
    </row>
    <row r="13" spans="1:21">
      <c r="C13" s="13"/>
      <c r="E13" s="5"/>
      <c r="F13" s="5" t="s">
        <v>7</v>
      </c>
      <c r="G13" s="5" t="s">
        <v>6</v>
      </c>
      <c r="H13" s="68">
        <f>SUM(H7:H12)</f>
        <v>0</v>
      </c>
      <c r="I13" s="313"/>
      <c r="J13" s="68">
        <f>SUM(J7:J12)</f>
        <v>0</v>
      </c>
      <c r="K13" s="68">
        <f>SUM(K7:K12)</f>
        <v>0</v>
      </c>
      <c r="L13" s="27"/>
      <c r="M13" s="27"/>
      <c r="N13" s="68">
        <f>SUM(N7:N12)</f>
        <v>0</v>
      </c>
      <c r="P13" s="68">
        <f>SUM(P7:P12)</f>
        <v>0</v>
      </c>
      <c r="Q13" s="68">
        <f>SUM(Q7:Q12)</f>
        <v>0</v>
      </c>
    </row>
    <row r="14" spans="1:21">
      <c r="C14" s="13"/>
      <c r="E14" s="43"/>
      <c r="G14" s="13"/>
      <c r="H14" s="313"/>
      <c r="I14" s="313"/>
      <c r="J14" s="313"/>
      <c r="K14" s="9"/>
      <c r="N14" s="9"/>
      <c r="P14" s="9"/>
      <c r="Q14" s="9"/>
    </row>
    <row r="15" spans="1:21">
      <c r="C15" s="13"/>
      <c r="E15" s="13"/>
      <c r="G15" s="5" t="s">
        <v>43</v>
      </c>
      <c r="H15" s="313">
        <f>J13-K13</f>
        <v>0</v>
      </c>
      <c r="I15" s="313"/>
      <c r="J15" s="313"/>
      <c r="K15" s="9"/>
      <c r="N15" s="82"/>
      <c r="O15" s="7"/>
      <c r="P15" s="9"/>
      <c r="Q15" s="9"/>
    </row>
    <row r="16" spans="1:21">
      <c r="G16" s="13"/>
      <c r="H16" s="9"/>
      <c r="I16" s="9"/>
      <c r="J16" s="9"/>
      <c r="K16" s="9"/>
      <c r="N16" s="82"/>
      <c r="P16" s="9"/>
      <c r="Q16" s="9"/>
    </row>
    <row r="17" spans="1:19">
      <c r="F17" s="139"/>
      <c r="G17" s="5" t="s">
        <v>184</v>
      </c>
      <c r="H17" s="473">
        <f>E1-K13+Q13+G28</f>
        <v>2821786260</v>
      </c>
      <c r="I17" s="9"/>
      <c r="J17" s="9"/>
      <c r="K17" s="9"/>
      <c r="N17" s="82"/>
      <c r="P17" s="9"/>
      <c r="Q17" s="82"/>
    </row>
    <row r="18" spans="1:19">
      <c r="H18" s="321" t="s">
        <v>420</v>
      </c>
      <c r="N18" s="82"/>
    </row>
    <row r="19" spans="1:19">
      <c r="H19" s="355"/>
      <c r="J19" s="9"/>
      <c r="N19" s="82"/>
      <c r="O19" s="1"/>
      <c r="S19" s="1"/>
    </row>
    <row r="20" spans="1:19">
      <c r="H20" s="2"/>
      <c r="J20" s="9"/>
      <c r="N20" s="82"/>
      <c r="O20" s="1"/>
      <c r="S20" s="1"/>
    </row>
    <row r="21" spans="1:19">
      <c r="A21" s="13"/>
      <c r="B21" s="13"/>
      <c r="C21" s="43"/>
      <c r="D21" s="43"/>
      <c r="E21" s="147"/>
      <c r="F21" s="13"/>
      <c r="G21" s="429"/>
      <c r="H21" s="467"/>
      <c r="I21" s="285"/>
      <c r="K21" s="82"/>
      <c r="M21" s="1"/>
      <c r="O21" s="1"/>
      <c r="S21" s="1"/>
    </row>
    <row r="22" spans="1:19">
      <c r="A22" s="13"/>
      <c r="B22" s="13"/>
      <c r="C22" s="43"/>
      <c r="D22" s="43"/>
      <c r="E22" s="147"/>
      <c r="F22" s="13"/>
      <c r="G22" s="429"/>
      <c r="H22" s="467"/>
      <c r="I22" s="285"/>
      <c r="M22" s="1"/>
      <c r="O22" s="1"/>
      <c r="S22" s="1"/>
    </row>
    <row r="23" spans="1:19">
      <c r="A23" s="13"/>
      <c r="B23" s="13"/>
      <c r="C23" s="43"/>
      <c r="D23" s="43"/>
      <c r="E23" s="147"/>
      <c r="F23" s="13"/>
      <c r="G23" s="429"/>
      <c r="H23" s="208"/>
      <c r="I23" s="285"/>
      <c r="M23" s="1"/>
      <c r="N23" s="82"/>
      <c r="O23" s="1"/>
      <c r="S23" s="1"/>
    </row>
    <row r="24" spans="1:19">
      <c r="A24" s="13"/>
      <c r="B24" s="13"/>
      <c r="C24" s="43"/>
      <c r="D24" s="43"/>
      <c r="E24" s="147"/>
      <c r="F24" s="13"/>
      <c r="G24" s="472"/>
      <c r="H24" s="208"/>
      <c r="I24" s="285"/>
      <c r="M24" s="1"/>
      <c r="N24" s="82"/>
      <c r="O24" s="1"/>
      <c r="S24" s="1"/>
    </row>
    <row r="25" spans="1:19">
      <c r="A25" s="13"/>
      <c r="B25" s="13"/>
      <c r="C25" s="43"/>
      <c r="D25" s="43"/>
      <c r="E25" s="147"/>
      <c r="F25" s="13"/>
      <c r="G25" s="472"/>
      <c r="H25" s="208"/>
      <c r="I25" s="285"/>
      <c r="M25" s="1"/>
      <c r="N25" s="82"/>
      <c r="O25" s="1"/>
      <c r="S25" s="1"/>
    </row>
    <row r="26" spans="1:19">
      <c r="A26" s="13"/>
      <c r="B26" s="13"/>
      <c r="C26" s="43"/>
      <c r="D26" s="43"/>
      <c r="E26" s="147"/>
      <c r="F26" s="13"/>
      <c r="G26" s="472"/>
      <c r="H26" s="208"/>
      <c r="I26" s="285"/>
      <c r="M26" s="1"/>
      <c r="N26" s="82"/>
      <c r="O26" s="1"/>
      <c r="S26" s="1"/>
    </row>
    <row r="27" spans="1:19">
      <c r="A27" s="13"/>
      <c r="B27" s="13"/>
      <c r="C27" s="43"/>
      <c r="D27" s="43"/>
      <c r="E27" s="147"/>
      <c r="F27" s="13"/>
      <c r="G27" s="481"/>
      <c r="H27" s="285"/>
      <c r="I27" s="285"/>
      <c r="M27" s="1"/>
      <c r="N27" s="82"/>
      <c r="O27" s="1"/>
      <c r="S27" s="1"/>
    </row>
    <row r="28" spans="1:19">
      <c r="G28" s="308">
        <f>SUM(G21:G27)</f>
        <v>0</v>
      </c>
      <c r="K28" s="166"/>
      <c r="M28" s="1"/>
      <c r="O28" s="1"/>
      <c r="S28" s="1"/>
    </row>
    <row r="29" spans="1:19">
      <c r="G29" s="82"/>
      <c r="K29" s="167"/>
    </row>
    <row r="30" spans="1:19">
      <c r="G30" s="82"/>
      <c r="J30" s="358"/>
      <c r="O30" s="1"/>
      <c r="S30" s="1"/>
    </row>
    <row r="36" spans="3:19">
      <c r="C36" s="4"/>
      <c r="D36" s="4"/>
      <c r="E36" s="4"/>
      <c r="F36" s="4"/>
      <c r="O36" s="1"/>
      <c r="S36" s="1"/>
    </row>
  </sheetData>
  <autoFilter ref="A6:T6" xr:uid="{6AB39F26-206D-4EAD-9D63-C0C08CFEF9BD}"/>
  <phoneticPr fontId="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249977111117893"/>
    <pageSetUpPr fitToPage="1"/>
  </sheetPr>
  <dimension ref="A1:U36"/>
  <sheetViews>
    <sheetView zoomScaleNormal="100" workbookViewId="0">
      <selection activeCell="H16" sqref="H16"/>
    </sheetView>
  </sheetViews>
  <sheetFormatPr defaultColWidth="11.375" defaultRowHeight="12"/>
  <cols>
    <col min="1" max="1" width="9.375" style="1" customWidth="1"/>
    <col min="2" max="2" width="7.125" style="1" bestFit="1" customWidth="1"/>
    <col min="3" max="3" width="10.125" style="1" bestFit="1" customWidth="1"/>
    <col min="4" max="4" width="13.25" style="1" bestFit="1" customWidth="1"/>
    <col min="5" max="5" width="38" style="1" bestFit="1" customWidth="1"/>
    <col min="6" max="6" width="23.125" style="1" bestFit="1" customWidth="1"/>
    <col min="7" max="7" width="14.875" style="1" customWidth="1"/>
    <col min="8" max="8" width="16" style="9" bestFit="1" customWidth="1"/>
    <col min="9" max="9" width="14" style="96" customWidth="1"/>
    <col min="10" max="10" width="14" style="9" customWidth="1"/>
    <col min="11" max="11" width="16.375" style="14" bestFit="1" customWidth="1"/>
    <col min="12" max="12" width="16.375" style="1" customWidth="1"/>
    <col min="13" max="13" width="16.25" style="1" bestFit="1" customWidth="1"/>
    <col min="14" max="14" width="16.375" style="2" bestFit="1" customWidth="1"/>
    <col min="15" max="15" width="17" style="1" bestFit="1" customWidth="1"/>
    <col min="16" max="16" width="15.25" style="121" bestFit="1" customWidth="1"/>
    <col min="17" max="17" width="15.75" style="121" bestFit="1" customWidth="1"/>
    <col min="18" max="18" width="10.625" style="1" bestFit="1" customWidth="1"/>
    <col min="19" max="19" width="38.125" style="1" bestFit="1" customWidth="1"/>
    <col min="20" max="21" width="11.625" style="1" bestFit="1" customWidth="1"/>
    <col min="22" max="16384" width="11.375" style="1"/>
  </cols>
  <sheetData>
    <row r="1" spans="1:21" s="24" customFormat="1">
      <c r="A1" s="16" t="s">
        <v>21</v>
      </c>
      <c r="B1" s="288"/>
      <c r="C1" s="288"/>
      <c r="D1" s="17"/>
      <c r="E1" s="372">
        <f>Totals!C8</f>
        <v>1380566332</v>
      </c>
      <c r="F1" s="18"/>
      <c r="G1" s="18"/>
      <c r="H1" s="122"/>
      <c r="I1" s="112"/>
      <c r="J1" s="70"/>
      <c r="K1" s="20"/>
      <c r="L1" s="5" t="s">
        <v>231</v>
      </c>
      <c r="M1" s="5" t="s">
        <v>230</v>
      </c>
      <c r="N1" s="5" t="s">
        <v>236</v>
      </c>
      <c r="O1" s="5" t="s">
        <v>235</v>
      </c>
      <c r="P1" s="118"/>
      <c r="Q1" s="118"/>
      <c r="R1" s="23"/>
    </row>
    <row r="2" spans="1:21" s="13" customFormat="1">
      <c r="A2" s="25" t="s">
        <v>35</v>
      </c>
      <c r="B2" s="48"/>
      <c r="C2" s="48"/>
      <c r="D2" s="5"/>
      <c r="E2" s="26"/>
      <c r="F2" s="262"/>
      <c r="G2" s="5"/>
      <c r="I2" s="113"/>
      <c r="J2" s="71"/>
      <c r="K2" s="28"/>
      <c r="L2" s="13" t="s">
        <v>229</v>
      </c>
      <c r="M2" s="351">
        <f>ROUND($E$1*0.5666, 0)</f>
        <v>782228884</v>
      </c>
      <c r="N2" s="54">
        <f>M2</f>
        <v>782228884</v>
      </c>
      <c r="O2" s="54">
        <f>N2</f>
        <v>782228884</v>
      </c>
      <c r="P2" s="119"/>
      <c r="Q2" s="119"/>
      <c r="R2" s="72"/>
    </row>
    <row r="3" spans="1:21" s="13" customFormat="1">
      <c r="A3" s="25"/>
      <c r="B3" s="48"/>
      <c r="C3" s="48"/>
      <c r="E3" s="5"/>
      <c r="F3" s="5"/>
      <c r="G3" s="5"/>
      <c r="I3" s="113"/>
      <c r="J3" s="71"/>
      <c r="K3" s="28"/>
      <c r="L3" s="13" t="s">
        <v>274</v>
      </c>
      <c r="M3" s="351">
        <f>ROUND($E$1*0.1, 0)</f>
        <v>138056633</v>
      </c>
      <c r="N3" s="54">
        <f t="shared" ref="N3:O3" si="0">M3</f>
        <v>138056633</v>
      </c>
      <c r="O3" s="54">
        <f t="shared" si="0"/>
        <v>138056633</v>
      </c>
      <c r="P3" s="119"/>
      <c r="Q3" s="119"/>
      <c r="R3" s="72"/>
    </row>
    <row r="4" spans="1:21" s="13" customFormat="1">
      <c r="A4" s="25"/>
      <c r="B4" s="48"/>
      <c r="C4" s="48"/>
      <c r="E4" s="5"/>
      <c r="F4" s="5"/>
      <c r="G4" s="5"/>
      <c r="I4" s="113"/>
      <c r="J4" s="71"/>
      <c r="K4" s="28"/>
      <c r="L4" s="13" t="s">
        <v>68</v>
      </c>
      <c r="M4" s="351">
        <f>ROUND($E$1*0.3334, 0)</f>
        <v>460280815</v>
      </c>
      <c r="N4" s="54">
        <f t="shared" ref="N4:O4" si="1">M4</f>
        <v>460280815</v>
      </c>
      <c r="O4" s="54">
        <f t="shared" si="1"/>
        <v>460280815</v>
      </c>
      <c r="P4" s="119"/>
      <c r="Q4" s="119"/>
      <c r="R4" s="72"/>
    </row>
    <row r="5" spans="1:21" s="13" customFormat="1">
      <c r="A5" s="25"/>
      <c r="B5" s="48"/>
      <c r="C5" s="48"/>
      <c r="E5" s="5"/>
      <c r="F5" s="5"/>
      <c r="G5" s="5"/>
      <c r="H5" s="71"/>
      <c r="I5" s="113"/>
      <c r="J5" s="71"/>
      <c r="M5" s="5"/>
      <c r="N5" s="53"/>
      <c r="O5" s="11"/>
      <c r="P5" s="119"/>
      <c r="Q5" s="119"/>
      <c r="R5" s="72"/>
    </row>
    <row r="6" spans="1:21" s="5" customFormat="1" ht="11.4">
      <c r="A6" s="31" t="s">
        <v>203</v>
      </c>
      <c r="B6" s="5" t="s">
        <v>205</v>
      </c>
      <c r="C6" s="5" t="s">
        <v>32</v>
      </c>
      <c r="D6" s="5" t="s">
        <v>37</v>
      </c>
      <c r="E6" s="5" t="s">
        <v>31</v>
      </c>
      <c r="F6" s="5" t="s">
        <v>49</v>
      </c>
      <c r="G6" s="5" t="s">
        <v>45</v>
      </c>
      <c r="H6" s="73" t="s">
        <v>23</v>
      </c>
      <c r="I6" s="114" t="s">
        <v>38</v>
      </c>
      <c r="J6" s="73" t="s">
        <v>51</v>
      </c>
      <c r="K6" s="73" t="s">
        <v>8</v>
      </c>
      <c r="L6" s="6" t="s">
        <v>14</v>
      </c>
      <c r="M6" s="6" t="s">
        <v>34</v>
      </c>
      <c r="N6" s="54" t="s">
        <v>4</v>
      </c>
      <c r="O6" s="6" t="s">
        <v>154</v>
      </c>
      <c r="P6" s="120" t="s">
        <v>27</v>
      </c>
      <c r="Q6" s="120" t="s">
        <v>44</v>
      </c>
      <c r="R6" s="30" t="s">
        <v>22</v>
      </c>
    </row>
    <row r="7" spans="1:21" s="5" customFormat="1">
      <c r="A7" s="31" t="s">
        <v>204</v>
      </c>
      <c r="B7" s="5" t="s">
        <v>204</v>
      </c>
      <c r="C7" s="5" t="s">
        <v>48</v>
      </c>
      <c r="D7" s="13"/>
      <c r="E7" s="26"/>
      <c r="F7" s="26"/>
      <c r="G7" s="26"/>
      <c r="H7" s="73" t="s">
        <v>42</v>
      </c>
      <c r="I7" s="114" t="s">
        <v>46</v>
      </c>
      <c r="J7" s="73" t="s">
        <v>42</v>
      </c>
      <c r="K7" s="73" t="s">
        <v>42</v>
      </c>
      <c r="L7" s="6" t="s">
        <v>9</v>
      </c>
      <c r="M7" s="6" t="s">
        <v>18</v>
      </c>
      <c r="N7" s="54" t="s">
        <v>42</v>
      </c>
      <c r="O7" s="6" t="s">
        <v>18</v>
      </c>
      <c r="P7" s="120" t="s">
        <v>42</v>
      </c>
      <c r="Q7" s="120" t="s">
        <v>42</v>
      </c>
      <c r="R7" s="30" t="s">
        <v>5</v>
      </c>
    </row>
    <row r="8" spans="1:21" s="5" customFormat="1" ht="13.8" thickBot="1">
      <c r="A8" s="37"/>
      <c r="B8" s="33"/>
      <c r="C8" s="33" t="s">
        <v>172</v>
      </c>
      <c r="D8" s="38" t="s">
        <v>7</v>
      </c>
      <c r="E8" s="39"/>
      <c r="F8" s="39"/>
      <c r="G8" s="39"/>
      <c r="H8" s="74"/>
      <c r="I8" s="115"/>
      <c r="J8" s="74"/>
      <c r="K8" s="74"/>
      <c r="L8" s="40"/>
      <c r="M8" s="40"/>
      <c r="N8" s="56"/>
      <c r="O8" s="40"/>
      <c r="P8" s="74"/>
      <c r="Q8" s="74"/>
      <c r="R8" s="171" t="s">
        <v>9</v>
      </c>
      <c r="S8" s="13"/>
      <c r="T8" s="169"/>
      <c r="U8" s="13"/>
    </row>
    <row r="9" spans="1:21" s="13" customFormat="1" ht="13.2">
      <c r="E9" s="36"/>
      <c r="F9" s="36"/>
      <c r="G9" s="36"/>
      <c r="H9" s="413"/>
      <c r="I9" s="414"/>
      <c r="J9" s="413"/>
      <c r="K9" s="413"/>
      <c r="L9" s="11"/>
      <c r="M9" s="11"/>
      <c r="N9" s="413"/>
      <c r="O9" s="11"/>
      <c r="P9" s="457"/>
      <c r="Q9" s="413"/>
      <c r="R9" s="11"/>
      <c r="S9" s="439"/>
      <c r="T9" s="169"/>
    </row>
    <row r="10" spans="1:21" s="13" customFormat="1" ht="13.2">
      <c r="E10" s="36"/>
      <c r="F10" s="36"/>
      <c r="G10" s="36"/>
      <c r="H10" s="413"/>
      <c r="I10" s="414"/>
      <c r="J10" s="413"/>
      <c r="K10" s="413"/>
      <c r="L10" s="11"/>
      <c r="M10" s="11"/>
      <c r="N10" s="413"/>
      <c r="O10" s="11"/>
      <c r="P10" s="413"/>
      <c r="Q10" s="413"/>
      <c r="R10" s="11"/>
      <c r="S10" s="439"/>
      <c r="T10" s="169"/>
    </row>
    <row r="11" spans="1:21" s="13" customFormat="1" ht="13.2">
      <c r="E11" s="36"/>
      <c r="F11" s="36"/>
      <c r="G11" s="36"/>
      <c r="H11" s="413"/>
      <c r="I11" s="414"/>
      <c r="J11" s="413"/>
      <c r="K11" s="413"/>
      <c r="L11" s="11"/>
      <c r="M11" s="11"/>
      <c r="N11" s="457"/>
      <c r="O11" s="11"/>
      <c r="P11" s="413"/>
      <c r="Q11" s="457"/>
      <c r="R11" s="11"/>
      <c r="S11" s="439"/>
      <c r="T11" s="169"/>
    </row>
    <row r="12" spans="1:21" s="13" customFormat="1">
      <c r="A12" s="43"/>
      <c r="B12" s="43"/>
      <c r="C12" s="43"/>
      <c r="D12" s="43"/>
      <c r="E12" s="1"/>
      <c r="F12" s="13" t="s">
        <v>19</v>
      </c>
      <c r="H12" s="261">
        <f>SUM(H9:H11)</f>
        <v>0</v>
      </c>
      <c r="I12" s="66"/>
      <c r="J12" s="261">
        <f>SUM(J9:J11)</f>
        <v>0</v>
      </c>
      <c r="K12" s="261">
        <f>SUM(K9:K11)</f>
        <v>0</v>
      </c>
      <c r="L12" s="11"/>
      <c r="M12" s="10"/>
      <c r="N12" s="261">
        <f>SUM(N9:N11)</f>
        <v>0</v>
      </c>
      <c r="O12" s="11"/>
      <c r="P12" s="261">
        <f>SUM(P9:P11)</f>
        <v>0</v>
      </c>
      <c r="Q12" s="261">
        <f>SUM(Q9:Q11)</f>
        <v>0</v>
      </c>
    </row>
    <row r="13" spans="1:21">
      <c r="A13" s="5"/>
      <c r="B13" s="5"/>
      <c r="C13" s="5"/>
      <c r="D13" s="87"/>
      <c r="F13" s="13"/>
      <c r="H13" s="76"/>
      <c r="I13" s="1"/>
      <c r="J13" s="11"/>
      <c r="K13" s="11"/>
      <c r="L13" s="11"/>
      <c r="M13" s="6"/>
      <c r="N13" s="1"/>
      <c r="O13" s="11"/>
      <c r="P13" s="1"/>
      <c r="Q13" s="13"/>
    </row>
    <row r="14" spans="1:21">
      <c r="A14" s="5"/>
      <c r="B14" s="5"/>
      <c r="C14" s="5"/>
      <c r="E14" s="5"/>
      <c r="F14" s="13" t="s">
        <v>43</v>
      </c>
      <c r="G14" s="5"/>
      <c r="H14" s="34">
        <f>J12-K12</f>
        <v>0</v>
      </c>
      <c r="I14" s="9"/>
      <c r="J14" s="1"/>
      <c r="K14" s="1"/>
      <c r="L14" s="9"/>
      <c r="N14" s="1"/>
      <c r="O14" s="3"/>
      <c r="P14" s="1"/>
      <c r="Q14" s="13"/>
    </row>
    <row r="15" spans="1:21">
      <c r="A15" s="5"/>
      <c r="B15" s="5"/>
      <c r="C15" s="5"/>
      <c r="E15" s="5"/>
      <c r="G15" s="5"/>
      <c r="H15" s="67"/>
      <c r="I15" s="9"/>
      <c r="J15" s="1"/>
      <c r="K15" s="166"/>
      <c r="L15" s="9"/>
      <c r="N15" s="1"/>
      <c r="O15" s="3"/>
      <c r="P15" s="1"/>
      <c r="Q15" s="13"/>
    </row>
    <row r="16" spans="1:21">
      <c r="A16" s="5"/>
      <c r="B16" s="5"/>
      <c r="C16" s="5"/>
      <c r="E16" s="132"/>
      <c r="F16" s="58" t="s">
        <v>10</v>
      </c>
      <c r="G16" s="5"/>
      <c r="H16" s="77">
        <f>E1-K12+Q12+G21</f>
        <v>1380566332</v>
      </c>
      <c r="I16" s="193"/>
      <c r="J16" s="170"/>
      <c r="K16" s="470"/>
      <c r="L16" s="9"/>
      <c r="M16" s="166"/>
      <c r="N16" s="82"/>
      <c r="P16" s="1"/>
      <c r="Q16" s="13"/>
    </row>
    <row r="17" spans="1:17">
      <c r="E17" s="58"/>
      <c r="F17" s="5"/>
      <c r="G17" s="5"/>
      <c r="H17" s="420"/>
      <c r="I17" s="193"/>
      <c r="J17" s="395"/>
      <c r="K17" s="471"/>
      <c r="L17" s="9"/>
      <c r="M17" s="167"/>
      <c r="N17" s="82"/>
      <c r="Q17" s="1"/>
    </row>
    <row r="18" spans="1:17">
      <c r="E18" s="58"/>
      <c r="F18" s="4"/>
      <c r="G18" s="123"/>
      <c r="H18" s="123"/>
      <c r="I18" s="186"/>
      <c r="J18" s="186"/>
      <c r="K18" s="356"/>
      <c r="L18" s="82"/>
      <c r="M18" s="166"/>
      <c r="N18" s="1"/>
      <c r="O18" s="170"/>
      <c r="P18" s="9"/>
      <c r="Q18" s="1"/>
    </row>
    <row r="19" spans="1:17">
      <c r="I19" s="186"/>
      <c r="J19" s="186"/>
      <c r="K19" s="388"/>
      <c r="L19" s="82"/>
      <c r="M19" s="166"/>
      <c r="N19" s="1"/>
      <c r="O19" s="170"/>
      <c r="P19" s="9"/>
      <c r="Q19" s="1"/>
    </row>
    <row r="20" spans="1:17">
      <c r="A20" s="13"/>
      <c r="B20" s="13"/>
      <c r="C20" s="13"/>
      <c r="D20" s="13"/>
      <c r="E20" s="13"/>
      <c r="F20" s="13"/>
      <c r="G20" s="464"/>
      <c r="H20" s="285"/>
      <c r="I20" s="399"/>
      <c r="J20" s="170"/>
      <c r="K20" s="170"/>
      <c r="L20" s="82"/>
      <c r="M20" s="170"/>
      <c r="N20" s="1"/>
      <c r="O20" s="166"/>
      <c r="Q20" s="1"/>
    </row>
    <row r="21" spans="1:17">
      <c r="E21" s="147"/>
      <c r="F21" s="132"/>
      <c r="G21" s="308">
        <f>SUM(G20:G20)</f>
        <v>0</v>
      </c>
      <c r="H21" s="123"/>
      <c r="I21" s="188"/>
      <c r="K21" s="393"/>
      <c r="L21" s="82"/>
      <c r="M21" s="166"/>
      <c r="N21" s="1"/>
      <c r="Q21" s="1"/>
    </row>
    <row r="22" spans="1:17">
      <c r="E22" s="58"/>
      <c r="F22" s="132"/>
      <c r="G22" s="465"/>
      <c r="H22" s="123"/>
      <c r="I22" s="190"/>
      <c r="K22" s="394"/>
      <c r="L22" s="9"/>
      <c r="N22" s="1"/>
      <c r="Q22" s="1"/>
    </row>
    <row r="23" spans="1:17">
      <c r="G23" s="259"/>
      <c r="I23" s="170"/>
      <c r="K23" s="166"/>
      <c r="L23" s="3"/>
      <c r="Q23" s="1"/>
    </row>
    <row r="24" spans="1:17">
      <c r="G24" s="249"/>
      <c r="H24" s="359"/>
      <c r="I24" s="193"/>
      <c r="K24" s="264"/>
      <c r="Q24" s="1"/>
    </row>
    <row r="25" spans="1:17">
      <c r="G25" s="249"/>
      <c r="H25" s="1"/>
      <c r="I25" s="193"/>
      <c r="K25" s="264"/>
      <c r="Q25" s="1"/>
    </row>
    <row r="26" spans="1:17">
      <c r="H26" s="1"/>
      <c r="I26" s="193"/>
      <c r="K26" s="264"/>
      <c r="Q26" s="1"/>
    </row>
    <row r="27" spans="1:17">
      <c r="H27" s="203"/>
      <c r="I27" s="193"/>
      <c r="Q27" s="1"/>
    </row>
    <row r="28" spans="1:17">
      <c r="H28" s="73"/>
      <c r="I28" s="193"/>
      <c r="Q28" s="1"/>
    </row>
    <row r="29" spans="1:17">
      <c r="H29" s="73"/>
      <c r="I29" s="193"/>
    </row>
    <row r="30" spans="1:17">
      <c r="H30" s="71"/>
    </row>
    <row r="31" spans="1:17">
      <c r="H31" s="73"/>
    </row>
    <row r="32" spans="1:17">
      <c r="H32" s="463"/>
    </row>
    <row r="33" spans="6:17">
      <c r="H33" s="73"/>
    </row>
    <row r="34" spans="6:17">
      <c r="F34" s="1" t="s">
        <v>7</v>
      </c>
      <c r="H34" s="73"/>
      <c r="I34" s="1"/>
      <c r="J34" s="1"/>
      <c r="K34" s="1"/>
      <c r="N34" s="1"/>
      <c r="P34" s="1"/>
      <c r="Q34" s="1"/>
    </row>
    <row r="35" spans="6:17">
      <c r="H35" s="203"/>
    </row>
    <row r="36" spans="6:17">
      <c r="H36" s="203"/>
    </row>
  </sheetData>
  <phoneticPr fontId="0" type="noConversion"/>
  <pageMargins left="0.75" right="0.75" top="1" bottom="1" header="0.5" footer="0.5"/>
  <pageSetup scale="47" fitToHeight="2"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V23"/>
  <sheetViews>
    <sheetView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0.75" style="13" customWidth="1"/>
    <col min="6" max="6" width="37.25" style="13" bestFit="1" customWidth="1"/>
    <col min="7" max="7" width="11.25" style="13" bestFit="1" customWidth="1"/>
    <col min="8" max="8" width="13.875" style="34" bestFit="1" customWidth="1"/>
    <col min="9" max="9" width="13.25" style="34" bestFit="1" customWidth="1"/>
    <col min="10" max="10" width="15.25" style="13" bestFit="1" customWidth="1"/>
    <col min="11" max="11" width="10.875" style="13" bestFit="1" customWidth="1"/>
    <col min="12" max="12" width="13.625" style="34" customWidth="1"/>
    <col min="13" max="13" width="10.875" style="13" bestFit="1" customWidth="1"/>
    <col min="14" max="14" width="15.75" style="35" bestFit="1" customWidth="1"/>
    <col min="15" max="15" width="15.125" style="34" bestFit="1" customWidth="1"/>
    <col min="16" max="16" width="10.125" style="13" bestFit="1" customWidth="1"/>
    <col min="17" max="16384" width="10.875" style="13"/>
  </cols>
  <sheetData>
    <row r="1" spans="1:22">
      <c r="A1" s="16" t="s">
        <v>47</v>
      </c>
      <c r="B1" s="288"/>
      <c r="C1" s="288"/>
      <c r="D1" s="17"/>
      <c r="E1" s="372">
        <f>Totals!D8</f>
        <v>428082584</v>
      </c>
      <c r="F1" s="18"/>
      <c r="G1" s="18"/>
      <c r="H1" s="324"/>
      <c r="I1" s="325"/>
      <c r="J1" s="281"/>
      <c r="K1" s="281"/>
      <c r="L1" s="325"/>
      <c r="M1" s="281"/>
      <c r="N1" s="324"/>
      <c r="O1" s="324"/>
      <c r="P1" s="23"/>
    </row>
    <row r="2" spans="1:22">
      <c r="A2" s="25" t="s">
        <v>0</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c r="A4" s="31" t="s">
        <v>203</v>
      </c>
      <c r="B4" s="5" t="s">
        <v>205</v>
      </c>
      <c r="C4" s="5" t="s">
        <v>32</v>
      </c>
      <c r="D4" s="5" t="s">
        <v>37</v>
      </c>
      <c r="E4" s="5" t="s">
        <v>31</v>
      </c>
      <c r="F4" s="26" t="s">
        <v>49</v>
      </c>
      <c r="G4" s="26" t="s">
        <v>45</v>
      </c>
      <c r="H4" s="83" t="s">
        <v>23</v>
      </c>
      <c r="I4" s="32" t="s">
        <v>8</v>
      </c>
      <c r="J4" s="6" t="s">
        <v>14</v>
      </c>
      <c r="K4" s="6" t="s">
        <v>34</v>
      </c>
      <c r="L4" s="32" t="s">
        <v>4</v>
      </c>
      <c r="M4" s="6" t="s">
        <v>154</v>
      </c>
      <c r="N4" s="32" t="s">
        <v>27</v>
      </c>
      <c r="O4" s="32" t="s">
        <v>44</v>
      </c>
      <c r="P4" s="105" t="s">
        <v>28</v>
      </c>
    </row>
    <row r="5" spans="1:22">
      <c r="A5" s="31" t="s">
        <v>204</v>
      </c>
      <c r="B5" s="5" t="s">
        <v>204</v>
      </c>
      <c r="C5" s="5" t="s">
        <v>48</v>
      </c>
      <c r="E5" s="5"/>
      <c r="F5" s="26"/>
      <c r="G5" s="26"/>
      <c r="H5" s="83" t="s">
        <v>42</v>
      </c>
      <c r="I5" s="32" t="s">
        <v>42</v>
      </c>
      <c r="J5" s="6" t="s">
        <v>9</v>
      </c>
      <c r="K5" s="6" t="s">
        <v>18</v>
      </c>
      <c r="L5" s="32" t="s">
        <v>42</v>
      </c>
      <c r="M5" s="6" t="s">
        <v>18</v>
      </c>
      <c r="N5" s="32" t="s">
        <v>42</v>
      </c>
      <c r="O5" s="32" t="s">
        <v>42</v>
      </c>
      <c r="P5" s="105" t="s">
        <v>5</v>
      </c>
    </row>
    <row r="6" spans="1:22" s="5" customFormat="1" ht="12.6" thickBot="1">
      <c r="A6" s="37"/>
      <c r="B6" s="33"/>
      <c r="C6" s="33" t="s">
        <v>172</v>
      </c>
      <c r="D6" s="38"/>
      <c r="E6" s="33"/>
      <c r="F6" s="39"/>
      <c r="G6" s="39"/>
      <c r="H6" s="129"/>
      <c r="I6" s="55"/>
      <c r="J6" s="40"/>
      <c r="K6" s="40"/>
      <c r="L6" s="55"/>
      <c r="M6" s="40"/>
      <c r="N6" s="55"/>
      <c r="O6" s="55"/>
      <c r="P6" s="106" t="s">
        <v>9</v>
      </c>
      <c r="Q6" s="13"/>
      <c r="R6" s="13"/>
      <c r="S6" s="13"/>
      <c r="T6" s="13"/>
      <c r="U6" s="13"/>
      <c r="V6" s="13"/>
    </row>
    <row r="7" spans="1:22" s="535" customFormat="1">
      <c r="A7" s="290" t="s">
        <v>146</v>
      </c>
      <c r="B7" s="290" t="s">
        <v>146</v>
      </c>
      <c r="C7" s="290">
        <v>5463</v>
      </c>
      <c r="D7" s="535" t="s">
        <v>315</v>
      </c>
      <c r="E7" s="535" t="s">
        <v>303</v>
      </c>
      <c r="F7" s="536" t="s">
        <v>425</v>
      </c>
      <c r="G7" s="535" t="s">
        <v>151</v>
      </c>
      <c r="H7" s="503">
        <v>100000000</v>
      </c>
      <c r="I7" s="503">
        <f>H7</f>
        <v>100000000</v>
      </c>
      <c r="J7" s="537">
        <v>44589</v>
      </c>
      <c r="K7" s="537">
        <f>J7+35</f>
        <v>44624</v>
      </c>
      <c r="L7" s="541">
        <v>0</v>
      </c>
      <c r="M7" s="537">
        <f>J7+210</f>
        <v>44799</v>
      </c>
      <c r="N7" s="542"/>
      <c r="O7" s="541">
        <f>I7-L7</f>
        <v>100000000</v>
      </c>
      <c r="P7" s="537">
        <v>44624</v>
      </c>
      <c r="Q7" s="538"/>
    </row>
    <row r="8" spans="1:22">
      <c r="A8" s="104"/>
      <c r="B8" s="104"/>
      <c r="C8" s="104"/>
      <c r="F8" s="36"/>
      <c r="H8" s="286"/>
      <c r="I8" s="286"/>
      <c r="J8" s="11"/>
      <c r="K8" s="11"/>
      <c r="L8" s="67"/>
      <c r="M8" s="11"/>
      <c r="N8" s="390"/>
      <c r="O8" s="390"/>
      <c r="P8" s="11"/>
      <c r="Q8" s="43"/>
    </row>
    <row r="9" spans="1:22">
      <c r="A9" s="104"/>
      <c r="B9" s="104"/>
      <c r="C9" s="104"/>
      <c r="F9" s="36"/>
      <c r="H9" s="286"/>
      <c r="I9" s="286"/>
      <c r="J9" s="11"/>
      <c r="K9" s="11"/>
      <c r="L9" s="67"/>
      <c r="M9" s="11"/>
      <c r="N9" s="390"/>
      <c r="O9" s="389"/>
      <c r="P9" s="11"/>
      <c r="Q9" s="43"/>
    </row>
    <row r="10" spans="1:22">
      <c r="A10" s="43"/>
      <c r="B10" s="43"/>
      <c r="C10" s="43"/>
      <c r="D10" s="43"/>
      <c r="E10" s="1"/>
      <c r="F10" s="13" t="s">
        <v>19</v>
      </c>
      <c r="H10" s="261">
        <f>SUM(H7:H9)</f>
        <v>100000000</v>
      </c>
      <c r="I10" s="261">
        <f>SUM(I7:I9)</f>
        <v>100000000</v>
      </c>
      <c r="J10" s="10"/>
      <c r="K10" s="10"/>
      <c r="L10" s="261">
        <f>SUM(L7:L9)</f>
        <v>0</v>
      </c>
      <c r="M10" s="10"/>
      <c r="N10" s="261">
        <f t="shared" ref="N10:O10" si="0">SUM(N7:N9)</f>
        <v>0</v>
      </c>
      <c r="O10" s="261">
        <f t="shared" si="0"/>
        <v>100000000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SUM(H10-I10)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428082584</v>
      </c>
      <c r="I14" s="289"/>
      <c r="J14" s="137"/>
      <c r="L14" s="9"/>
      <c r="M14" s="137"/>
      <c r="Q14" s="13"/>
    </row>
    <row r="15" spans="1:22">
      <c r="L15" s="35"/>
      <c r="O15" s="146"/>
    </row>
    <row r="16" spans="1:22">
      <c r="O16" s="146"/>
    </row>
    <row r="17" spans="5:12" s="13" customFormat="1">
      <c r="E17" s="5"/>
      <c r="F17" s="5"/>
      <c r="G17" s="89"/>
      <c r="H17" s="34"/>
      <c r="I17" s="368"/>
      <c r="J17" s="368"/>
      <c r="L17" s="35"/>
    </row>
    <row r="18" spans="5:12" s="13" customFormat="1">
      <c r="G18" s="308">
        <f>SUM(G16:G17)</f>
        <v>0</v>
      </c>
      <c r="H18" s="144"/>
      <c r="I18" s="34"/>
      <c r="L18" s="35"/>
    </row>
    <row r="19" spans="5:12" s="13" customFormat="1">
      <c r="E19" s="5"/>
      <c r="F19" s="5"/>
      <c r="G19" s="5"/>
      <c r="H19" s="35"/>
      <c r="I19" s="34"/>
      <c r="L19" s="34"/>
    </row>
    <row r="20" spans="5:12" s="13" customFormat="1">
      <c r="G20" s="97"/>
      <c r="H20" s="34"/>
      <c r="I20" s="34"/>
      <c r="L20" s="35"/>
    </row>
    <row r="21" spans="5:12" s="13" customFormat="1">
      <c r="G21" s="97"/>
      <c r="H21" s="134"/>
      <c r="I21" s="34"/>
      <c r="L21" s="34"/>
    </row>
    <row r="22" spans="5:12" s="13" customFormat="1">
      <c r="G22" s="116"/>
      <c r="H22" s="133"/>
      <c r="I22" s="34"/>
      <c r="L22" s="34"/>
    </row>
    <row r="23" spans="5:12" s="13" customFormat="1">
      <c r="G23" s="116"/>
      <c r="H23" s="133"/>
      <c r="I23" s="34"/>
      <c r="L23" s="34"/>
    </row>
  </sheetData>
  <phoneticPr fontId="0" type="noConversion"/>
  <pageMargins left="0.75" right="0.75" top="1" bottom="1" header="0.5" footer="0.5"/>
  <pageSetup scale="60"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0.249977111117893"/>
    <pageSetUpPr fitToPage="1"/>
  </sheetPr>
  <dimension ref="A1:V29"/>
  <sheetViews>
    <sheetView zoomScaleNormal="100" workbookViewId="0">
      <selection activeCell="H14" sqref="H14"/>
    </sheetView>
  </sheetViews>
  <sheetFormatPr defaultColWidth="10.875" defaultRowHeight="12"/>
  <cols>
    <col min="1" max="1" width="9.625" style="104" customWidth="1"/>
    <col min="2" max="2" width="7.125" style="104" bestFit="1" customWidth="1"/>
    <col min="3" max="3" width="10.125" style="104" bestFit="1" customWidth="1"/>
    <col min="4" max="4" width="12.125" style="104" bestFit="1" customWidth="1"/>
    <col min="5" max="5" width="17.875" style="104" bestFit="1" customWidth="1"/>
    <col min="6" max="6" width="25.25" style="104" customWidth="1"/>
    <col min="7" max="7" width="11.25" style="104" bestFit="1" customWidth="1"/>
    <col min="8" max="8" width="13.875" style="109" bestFit="1" customWidth="1"/>
    <col min="9" max="9" width="12.75" style="109" bestFit="1" customWidth="1"/>
    <col min="10" max="10" width="15.25" style="104" bestFit="1" customWidth="1"/>
    <col min="11" max="11" width="10.875" style="104" bestFit="1" customWidth="1"/>
    <col min="12" max="12" width="12.625" style="109" bestFit="1" customWidth="1"/>
    <col min="13" max="13" width="10.875" style="104" customWidth="1"/>
    <col min="14" max="14" width="15.25" style="109" bestFit="1" customWidth="1"/>
    <col min="15" max="15" width="12.25" style="109" bestFit="1" customWidth="1"/>
    <col min="16" max="16" width="10.625" style="104" bestFit="1" customWidth="1"/>
    <col min="17" max="16384" width="10.875" style="104"/>
  </cols>
  <sheetData>
    <row r="1" spans="1:22" s="101" customFormat="1">
      <c r="A1" s="16" t="s">
        <v>24</v>
      </c>
      <c r="B1" s="288"/>
      <c r="C1" s="288"/>
      <c r="D1" s="17"/>
      <c r="E1" s="375">
        <f>Totals!E8</f>
        <v>85616516</v>
      </c>
      <c r="F1" s="18"/>
      <c r="G1" s="18"/>
      <c r="H1" s="324"/>
      <c r="I1" s="325"/>
      <c r="J1" s="281"/>
      <c r="K1" s="281"/>
      <c r="L1" s="325"/>
      <c r="M1" s="281"/>
      <c r="N1" s="324"/>
      <c r="O1" s="324"/>
      <c r="P1" s="23"/>
      <c r="Q1" s="104"/>
      <c r="R1" s="104"/>
      <c r="S1" s="104"/>
      <c r="T1" s="104"/>
      <c r="U1" s="104"/>
      <c r="V1" s="104"/>
    </row>
    <row r="2" spans="1:22">
      <c r="A2" s="25" t="s">
        <v>36</v>
      </c>
      <c r="B2" s="48"/>
      <c r="C2" s="48"/>
      <c r="D2" s="5"/>
      <c r="E2" s="26"/>
      <c r="F2" s="26"/>
      <c r="G2" s="26"/>
      <c r="H2" s="46"/>
      <c r="I2" s="47"/>
      <c r="J2" s="6"/>
      <c r="K2" s="6"/>
      <c r="L2" s="47"/>
      <c r="M2" s="6"/>
      <c r="N2" s="46"/>
      <c r="O2" s="46"/>
      <c r="P2" s="105"/>
    </row>
    <row r="3" spans="1:22">
      <c r="A3" s="31"/>
      <c r="B3" s="5"/>
      <c r="C3" s="5"/>
      <c r="D3" s="5"/>
      <c r="E3" s="5"/>
      <c r="F3" s="5"/>
      <c r="G3" s="5"/>
      <c r="H3" s="46"/>
      <c r="I3" s="125"/>
      <c r="J3" s="6"/>
      <c r="K3" s="6"/>
      <c r="L3" s="209"/>
      <c r="M3" s="6"/>
      <c r="N3" s="54"/>
      <c r="O3" s="54"/>
      <c r="P3" s="105"/>
    </row>
    <row r="4" spans="1:22" s="102" customFormat="1">
      <c r="A4" s="31" t="s">
        <v>203</v>
      </c>
      <c r="B4" s="5" t="s">
        <v>205</v>
      </c>
      <c r="C4" s="5" t="s">
        <v>32</v>
      </c>
      <c r="D4" s="5" t="s">
        <v>37</v>
      </c>
      <c r="E4" s="5" t="s">
        <v>31</v>
      </c>
      <c r="F4" s="26" t="s">
        <v>49</v>
      </c>
      <c r="G4" s="26" t="s">
        <v>45</v>
      </c>
      <c r="H4" s="83" t="s">
        <v>23</v>
      </c>
      <c r="I4" s="32" t="s">
        <v>8</v>
      </c>
      <c r="J4" s="6" t="s">
        <v>14</v>
      </c>
      <c r="K4" s="6" t="s">
        <v>34</v>
      </c>
      <c r="L4" s="32" t="s">
        <v>4</v>
      </c>
      <c r="M4" s="6" t="s">
        <v>155</v>
      </c>
      <c r="N4" s="32" t="s">
        <v>27</v>
      </c>
      <c r="O4" s="32" t="s">
        <v>44</v>
      </c>
      <c r="P4" s="105" t="s">
        <v>22</v>
      </c>
      <c r="Q4" s="104"/>
      <c r="R4" s="104"/>
      <c r="S4" s="104"/>
      <c r="T4" s="104"/>
      <c r="U4" s="104"/>
      <c r="V4" s="104"/>
    </row>
    <row r="5" spans="1:22" s="102" customFormat="1">
      <c r="A5" s="31" t="s">
        <v>204</v>
      </c>
      <c r="B5" s="5" t="s">
        <v>204</v>
      </c>
      <c r="C5" s="5" t="s">
        <v>48</v>
      </c>
      <c r="D5" s="13"/>
      <c r="E5" s="5"/>
      <c r="F5" s="26"/>
      <c r="G5" s="26"/>
      <c r="H5" s="83" t="s">
        <v>42</v>
      </c>
      <c r="I5" s="32" t="s">
        <v>42</v>
      </c>
      <c r="J5" s="6" t="s">
        <v>9</v>
      </c>
      <c r="K5" s="6" t="s">
        <v>18</v>
      </c>
      <c r="L5" s="32" t="s">
        <v>42</v>
      </c>
      <c r="M5" s="6" t="s">
        <v>18</v>
      </c>
      <c r="N5" s="32" t="s">
        <v>42</v>
      </c>
      <c r="O5" s="32" t="s">
        <v>42</v>
      </c>
      <c r="P5" s="105" t="s">
        <v>5</v>
      </c>
      <c r="Q5" s="104"/>
      <c r="R5" s="104"/>
      <c r="S5" s="104"/>
      <c r="T5" s="104"/>
      <c r="U5" s="104"/>
      <c r="V5" s="104"/>
    </row>
    <row r="6" spans="1:22" s="102" customFormat="1" ht="12.6" thickBot="1">
      <c r="A6" s="37"/>
      <c r="B6" s="33"/>
      <c r="C6" s="33" t="s">
        <v>172</v>
      </c>
      <c r="D6" s="38"/>
      <c r="E6" s="33"/>
      <c r="F6" s="39"/>
      <c r="G6" s="39"/>
      <c r="H6" s="129"/>
      <c r="I6" s="55"/>
      <c r="J6" s="40"/>
      <c r="K6" s="40"/>
      <c r="L6" s="55"/>
      <c r="M6" s="40"/>
      <c r="N6" s="55"/>
      <c r="O6" s="55"/>
      <c r="P6" s="106" t="s">
        <v>9</v>
      </c>
      <c r="Q6" s="104"/>
      <c r="R6" s="104"/>
      <c r="S6" s="104"/>
      <c r="T6" s="104"/>
      <c r="U6" s="104"/>
      <c r="V6" s="104"/>
    </row>
    <row r="7" spans="1:22" s="13" customFormat="1">
      <c r="A7" s="104"/>
      <c r="B7" s="104"/>
      <c r="C7" s="104"/>
      <c r="F7" s="36"/>
      <c r="H7" s="286"/>
      <c r="I7" s="286"/>
      <c r="J7" s="11"/>
      <c r="K7" s="11"/>
      <c r="L7" s="67"/>
      <c r="M7" s="11"/>
      <c r="N7" s="67"/>
      <c r="O7" s="67"/>
      <c r="P7" s="11"/>
      <c r="Q7" s="43"/>
    </row>
    <row r="8" spans="1:22" s="13" customFormat="1">
      <c r="A8" s="104"/>
      <c r="B8" s="104"/>
      <c r="C8" s="104"/>
      <c r="F8" s="36"/>
      <c r="H8" s="286"/>
      <c r="I8" s="286"/>
      <c r="J8" s="11"/>
      <c r="K8" s="11"/>
      <c r="L8" s="67"/>
      <c r="M8" s="11"/>
      <c r="N8" s="67"/>
      <c r="O8" s="67"/>
      <c r="P8" s="11"/>
      <c r="Q8" s="43"/>
    </row>
    <row r="9" spans="1:22" customFormat="1">
      <c r="A9" s="43"/>
      <c r="B9" s="43"/>
      <c r="C9" s="43"/>
      <c r="D9" s="437"/>
      <c r="E9" s="43"/>
      <c r="F9" s="147"/>
      <c r="G9" s="147"/>
      <c r="H9" s="59"/>
      <c r="I9" s="59"/>
      <c r="J9" s="151"/>
      <c r="K9" s="151"/>
      <c r="L9" s="438"/>
      <c r="M9" s="151"/>
      <c r="N9" s="438"/>
      <c r="O9" s="438"/>
      <c r="P9" s="198"/>
    </row>
    <row r="10" spans="1:22" s="13" customFormat="1">
      <c r="A10" s="43"/>
      <c r="B10" s="43"/>
      <c r="C10" s="43"/>
      <c r="D10" s="43"/>
      <c r="E10" s="1"/>
      <c r="F10" s="13" t="s">
        <v>19</v>
      </c>
      <c r="H10" s="261">
        <f>SUM(H7:H9)</f>
        <v>0</v>
      </c>
      <c r="I10" s="261">
        <f>SUM(I7:I9)</f>
        <v>0</v>
      </c>
      <c r="J10" s="10"/>
      <c r="K10" s="10"/>
      <c r="L10" s="261">
        <f>SUM(L7:L9)</f>
        <v>0</v>
      </c>
      <c r="M10" s="10"/>
      <c r="N10" s="261">
        <f>SUM(N7:N9)</f>
        <v>0</v>
      </c>
      <c r="O10" s="261">
        <f>SUM(O7:O9)</f>
        <v>0</v>
      </c>
    </row>
    <row r="11" spans="1:22" s="1" customFormat="1">
      <c r="A11" s="5"/>
      <c r="B11" s="5"/>
      <c r="C11" s="5"/>
      <c r="D11" s="87"/>
      <c r="F11" s="13"/>
      <c r="H11" s="76"/>
      <c r="J11" s="11"/>
      <c r="K11" s="11"/>
      <c r="L11" s="9"/>
      <c r="M11" s="6"/>
      <c r="Q11" s="13"/>
    </row>
    <row r="12" spans="1:22" s="1" customFormat="1">
      <c r="A12" s="5"/>
      <c r="B12" s="5"/>
      <c r="C12" s="5"/>
      <c r="E12" s="5"/>
      <c r="F12" s="13" t="s">
        <v>43</v>
      </c>
      <c r="G12" s="5"/>
      <c r="H12" s="34">
        <f>H10-I10</f>
        <v>0</v>
      </c>
      <c r="I12" s="9"/>
      <c r="L12" s="9"/>
      <c r="Q12" s="13"/>
    </row>
    <row r="13" spans="1:22" s="1" customFormat="1">
      <c r="A13" s="5"/>
      <c r="B13" s="5"/>
      <c r="C13" s="5"/>
      <c r="E13" s="5"/>
      <c r="G13" s="5"/>
      <c r="H13" s="67"/>
      <c r="I13" s="9"/>
      <c r="K13" s="137"/>
      <c r="L13" s="9"/>
      <c r="N13" s="76"/>
      <c r="Q13" s="13"/>
    </row>
    <row r="14" spans="1:22" s="1" customFormat="1">
      <c r="A14" s="5"/>
      <c r="B14" s="5"/>
      <c r="C14" s="5"/>
      <c r="E14" s="132"/>
      <c r="F14" s="58" t="s">
        <v>10</v>
      </c>
      <c r="G14" s="5"/>
      <c r="H14" s="77">
        <f>+E1-I10+O10+G18</f>
        <v>85616516</v>
      </c>
      <c r="I14" s="289"/>
      <c r="J14" s="137"/>
      <c r="L14" s="9"/>
      <c r="M14" s="137"/>
      <c r="Q14" s="13"/>
    </row>
    <row r="15" spans="1:22" s="1" customFormat="1">
      <c r="A15" s="5"/>
      <c r="B15" s="5"/>
      <c r="C15" s="5"/>
      <c r="E15" s="132"/>
      <c r="F15" s="58"/>
      <c r="G15" s="5"/>
      <c r="H15" s="123"/>
      <c r="I15" s="289"/>
      <c r="J15" s="137"/>
      <c r="L15" s="9"/>
      <c r="M15" s="137"/>
      <c r="Q15" s="13"/>
    </row>
    <row r="16" spans="1:22" s="1" customFormat="1">
      <c r="A16" s="5"/>
      <c r="B16" s="5"/>
      <c r="C16" s="5"/>
      <c r="E16" s="132"/>
      <c r="F16" s="58"/>
      <c r="G16" s="5"/>
      <c r="H16" s="123"/>
      <c r="I16" s="289"/>
      <c r="J16" s="137"/>
      <c r="L16" s="9"/>
      <c r="M16" s="137"/>
      <c r="Q16" s="13"/>
    </row>
    <row r="17" spans="1:22">
      <c r="A17" s="110"/>
      <c r="B17" s="110"/>
      <c r="C17" s="110"/>
      <c r="G17" s="290"/>
      <c r="J17" s="108"/>
      <c r="K17" s="108"/>
      <c r="M17" s="108"/>
      <c r="P17" s="107"/>
      <c r="Q17" s="102"/>
      <c r="R17" s="102"/>
      <c r="S17" s="102"/>
      <c r="T17" s="102"/>
      <c r="U17" s="102"/>
      <c r="V17" s="102"/>
    </row>
    <row r="18" spans="1:22">
      <c r="E18" s="102"/>
      <c r="F18" s="102"/>
      <c r="G18" s="308">
        <f>SUM(G16:G17)</f>
        <v>0</v>
      </c>
      <c r="H18" s="103"/>
      <c r="I18" s="140"/>
      <c r="J18" s="140"/>
    </row>
    <row r="20" spans="1:22">
      <c r="E20" s="102"/>
      <c r="F20" s="102"/>
      <c r="G20" s="102"/>
      <c r="H20" s="111"/>
    </row>
    <row r="24" spans="1:22">
      <c r="H24" s="145"/>
    </row>
    <row r="29" spans="1:22">
      <c r="K29" s="104" t="s">
        <v>7</v>
      </c>
    </row>
  </sheetData>
  <phoneticPr fontId="0" type="noConversion"/>
  <pageMargins left="0.75" right="0.75" top="1" bottom="1" header="0.5" footer="0.5"/>
  <pageSetup scale="65" fitToHeight="0" orientation="landscape"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0" tint="-0.249977111117893"/>
  </sheetPr>
  <dimension ref="A1:V42"/>
  <sheetViews>
    <sheetView topLeftCell="B1" workbookViewId="0">
      <selection activeCell="H14" sqref="H14"/>
    </sheetView>
  </sheetViews>
  <sheetFormatPr defaultColWidth="10.875" defaultRowHeight="12"/>
  <cols>
    <col min="1" max="1" width="9.375" style="13" customWidth="1"/>
    <col min="2" max="2" width="7.125" style="13" bestFit="1" customWidth="1"/>
    <col min="3" max="3" width="10.125" style="13" bestFit="1" customWidth="1"/>
    <col min="4" max="4" width="13.25" style="13" bestFit="1" customWidth="1"/>
    <col min="5" max="5" width="23" style="13" customWidth="1"/>
    <col min="6" max="6" width="40.25" style="13" customWidth="1"/>
    <col min="7" max="7" width="14" style="13" bestFit="1" customWidth="1"/>
    <col min="8" max="8" width="15.25" style="57" bestFit="1" customWidth="1"/>
    <col min="9" max="9" width="13.875" style="34" bestFit="1" customWidth="1"/>
    <col min="10" max="10" width="15.25" style="13" bestFit="1" customWidth="1"/>
    <col min="11" max="11" width="10.875" style="13" bestFit="1" customWidth="1"/>
    <col min="12" max="12" width="12.625" style="34" bestFit="1" customWidth="1"/>
    <col min="13" max="13" width="14.125" style="13" customWidth="1"/>
    <col min="14" max="14" width="15.25" style="12" bestFit="1" customWidth="1"/>
    <col min="15" max="15" width="13.125" style="12" bestFit="1" customWidth="1"/>
    <col min="16" max="16" width="10.625" style="13" bestFit="1" customWidth="1"/>
    <col min="17" max="17" width="10.25" style="13" bestFit="1" customWidth="1"/>
    <col min="18" max="18" width="35.25" style="13" bestFit="1" customWidth="1"/>
    <col min="19" max="19" width="12.75" style="13" bestFit="1" customWidth="1"/>
    <col min="20" max="16384" width="10.875" style="13"/>
  </cols>
  <sheetData>
    <row r="1" spans="1:22" s="17" customFormat="1" ht="11.4">
      <c r="A1" s="16" t="s">
        <v>12</v>
      </c>
      <c r="B1" s="288"/>
      <c r="C1" s="288"/>
      <c r="E1" s="372">
        <f>Totals!F8</f>
        <v>112371679</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54</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55</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s="89" customFormat="1" ht="11.4">
      <c r="A7" s="89" t="s">
        <v>146</v>
      </c>
      <c r="B7" s="89" t="s">
        <v>146</v>
      </c>
      <c r="C7" s="89">
        <v>5458</v>
      </c>
      <c r="D7" s="89" t="s">
        <v>507</v>
      </c>
      <c r="E7" s="88" t="s">
        <v>149</v>
      </c>
      <c r="F7" s="89" t="s">
        <v>362</v>
      </c>
      <c r="G7" s="89" t="s">
        <v>79</v>
      </c>
      <c r="H7" s="506">
        <v>16500000</v>
      </c>
      <c r="I7" s="506">
        <f>H7</f>
        <v>16500000</v>
      </c>
      <c r="J7" s="91">
        <v>44572</v>
      </c>
      <c r="K7" s="91">
        <f>J7+35</f>
        <v>44607</v>
      </c>
      <c r="L7" s="507">
        <v>16500000</v>
      </c>
      <c r="M7" s="91">
        <f>J7+180</f>
        <v>44752</v>
      </c>
      <c r="N7" s="507"/>
      <c r="O7" s="507"/>
      <c r="P7" s="91"/>
      <c r="Q7" s="89" t="s">
        <v>255</v>
      </c>
      <c r="S7" s="508" t="s">
        <v>509</v>
      </c>
    </row>
    <row r="8" spans="1:22">
      <c r="E8" s="36"/>
      <c r="H8" s="461"/>
      <c r="I8" s="461"/>
      <c r="J8" s="11"/>
      <c r="K8" s="11"/>
      <c r="L8" s="409"/>
      <c r="M8" s="11"/>
      <c r="N8" s="409"/>
      <c r="O8" s="409"/>
      <c r="P8" s="11"/>
      <c r="S8" s="466"/>
    </row>
    <row r="9" spans="1:22">
      <c r="E9" s="36"/>
      <c r="H9" s="461"/>
      <c r="I9" s="461"/>
      <c r="J9" s="11"/>
      <c r="K9" s="11"/>
      <c r="L9" s="409"/>
      <c r="M9" s="11"/>
      <c r="N9" s="409"/>
      <c r="O9" s="409"/>
      <c r="P9" s="11"/>
      <c r="S9" s="466"/>
    </row>
    <row r="10" spans="1:22">
      <c r="A10" s="43"/>
      <c r="B10" s="43"/>
      <c r="C10" s="43"/>
      <c r="D10" s="43"/>
      <c r="E10" s="1"/>
      <c r="F10" s="13" t="s">
        <v>19</v>
      </c>
      <c r="H10" s="261">
        <f>SUM(H7:H9)</f>
        <v>16500000</v>
      </c>
      <c r="I10" s="261">
        <f>SUM(I7:I9)</f>
        <v>16500000</v>
      </c>
      <c r="J10" s="10"/>
      <c r="K10" s="10"/>
      <c r="L10" s="261">
        <f>SUM(L7:L9)</f>
        <v>16500000</v>
      </c>
      <c r="M10" s="10"/>
      <c r="N10" s="261">
        <f>SUM(N7:N9)</f>
        <v>0</v>
      </c>
      <c r="O10" s="261">
        <f>SUM(O7:O9)</f>
        <v>0</v>
      </c>
    </row>
    <row r="11" spans="1:22" s="1" customFormat="1">
      <c r="A11" s="5"/>
      <c r="B11" s="5"/>
      <c r="C11" s="5"/>
      <c r="D11" s="87"/>
      <c r="F11" s="13"/>
      <c r="H11" s="76"/>
      <c r="J11" s="11"/>
      <c r="K11" s="11"/>
      <c r="L11" s="9"/>
      <c r="M11" s="6"/>
      <c r="P11" s="3"/>
      <c r="Q11" s="13"/>
    </row>
    <row r="12" spans="1:22" s="1" customFormat="1">
      <c r="A12" s="5"/>
      <c r="B12" s="5"/>
      <c r="C12" s="5"/>
      <c r="F12" s="13" t="s">
        <v>43</v>
      </c>
      <c r="G12" s="5"/>
      <c r="H12" s="34">
        <f>SUM(H10-I10)</f>
        <v>0</v>
      </c>
      <c r="I12" s="9"/>
      <c r="L12" s="9"/>
      <c r="Q12" s="13"/>
    </row>
    <row r="13" spans="1:22" s="1" customFormat="1">
      <c r="A13" s="5"/>
      <c r="B13" s="5"/>
      <c r="C13" s="5"/>
      <c r="G13" s="5"/>
      <c r="H13" s="67"/>
      <c r="I13" s="9"/>
      <c r="K13" s="137"/>
      <c r="L13" s="9"/>
      <c r="M13" s="3"/>
      <c r="N13" s="76"/>
      <c r="Q13" s="13"/>
    </row>
    <row r="14" spans="1:22" s="1" customFormat="1">
      <c r="A14" s="5"/>
      <c r="B14" s="5"/>
      <c r="C14" s="5"/>
      <c r="E14" s="132"/>
      <c r="F14" s="58" t="s">
        <v>10</v>
      </c>
      <c r="G14" s="5"/>
      <c r="H14" s="77">
        <f>E1-I10+O10+G18</f>
        <v>112371679</v>
      </c>
      <c r="I14" s="289"/>
      <c r="J14" s="137"/>
      <c r="L14" s="9"/>
      <c r="M14" s="3"/>
      <c r="N14" s="9"/>
      <c r="Q14" s="13"/>
    </row>
    <row r="15" spans="1:22" s="5" customFormat="1" ht="11.25" customHeight="1">
      <c r="A15" s="4"/>
      <c r="B15" s="4"/>
      <c r="C15" s="4"/>
      <c r="D15" s="48"/>
      <c r="E15" s="48"/>
      <c r="F15" s="4"/>
      <c r="G15" s="48"/>
      <c r="H15" s="75"/>
      <c r="I15" s="95"/>
      <c r="J15" s="6"/>
      <c r="K15" s="6"/>
      <c r="L15" s="60"/>
      <c r="M15" s="6"/>
      <c r="N15" s="44"/>
      <c r="O15" s="46"/>
      <c r="P15" s="6"/>
      <c r="Q15" s="48"/>
      <c r="T15" s="13"/>
      <c r="V15" s="67"/>
    </row>
    <row r="16" spans="1:22">
      <c r="G16" s="150"/>
      <c r="J16" s="11"/>
      <c r="L16" s="57"/>
    </row>
    <row r="17" spans="3:15">
      <c r="C17" s="43">
        <v>5412</v>
      </c>
      <c r="D17" s="43" t="s">
        <v>77</v>
      </c>
      <c r="E17" s="36" t="s">
        <v>149</v>
      </c>
      <c r="F17" s="36" t="s">
        <v>94</v>
      </c>
      <c r="G17" s="448">
        <v>16500000</v>
      </c>
      <c r="H17" s="379" t="s">
        <v>508</v>
      </c>
      <c r="J17" s="11"/>
      <c r="L17" s="392"/>
      <c r="N17" s="13"/>
      <c r="O17" s="13"/>
    </row>
    <row r="18" spans="3:15">
      <c r="G18" s="291">
        <f>SUM(G17:G17)</f>
        <v>16500000</v>
      </c>
      <c r="J18" s="11"/>
      <c r="K18" s="97"/>
      <c r="N18" s="13"/>
      <c r="O18" s="13"/>
    </row>
    <row r="19" spans="3:15">
      <c r="G19" s="67"/>
      <c r="K19" s="97"/>
      <c r="L19" s="35"/>
      <c r="N19" s="13"/>
      <c r="O19" s="13"/>
    </row>
    <row r="20" spans="3:15">
      <c r="G20" s="67"/>
      <c r="K20" s="97"/>
      <c r="N20" s="13"/>
      <c r="O20" s="13"/>
    </row>
    <row r="21" spans="3:15">
      <c r="G21" s="67"/>
      <c r="K21" s="97"/>
      <c r="L21" s="206"/>
      <c r="M21" s="11"/>
      <c r="N21" s="13"/>
      <c r="O21" s="13"/>
    </row>
    <row r="22" spans="3:15">
      <c r="G22" s="67"/>
      <c r="K22" s="97"/>
      <c r="L22" s="35"/>
      <c r="N22" s="13"/>
      <c r="O22" s="13"/>
    </row>
    <row r="23" spans="3:15">
      <c r="G23" s="67"/>
      <c r="K23" s="97"/>
      <c r="N23" s="13"/>
      <c r="O23" s="13"/>
    </row>
    <row r="24" spans="3:15">
      <c r="G24" s="67"/>
      <c r="K24" s="97"/>
      <c r="L24" s="60"/>
      <c r="M24" s="382"/>
      <c r="N24" s="13"/>
      <c r="O24" s="13"/>
    </row>
    <row r="25" spans="3:15">
      <c r="G25" s="67"/>
      <c r="K25" s="97"/>
      <c r="L25" s="15"/>
      <c r="M25" s="382"/>
      <c r="N25" s="13"/>
      <c r="O25" s="13"/>
    </row>
    <row r="26" spans="3:15">
      <c r="G26" s="67"/>
      <c r="K26" s="97"/>
      <c r="L26" s="386"/>
      <c r="M26" s="49"/>
      <c r="N26" s="13"/>
      <c r="O26" s="13"/>
    </row>
    <row r="27" spans="3:15">
      <c r="G27" s="67"/>
      <c r="K27" s="97"/>
      <c r="L27" s="386"/>
      <c r="M27" s="49"/>
      <c r="N27" s="13"/>
      <c r="O27" s="13"/>
    </row>
    <row r="28" spans="3:15">
      <c r="G28" s="67"/>
      <c r="K28" s="97"/>
      <c r="N28" s="13"/>
      <c r="O28" s="13"/>
    </row>
    <row r="29" spans="3:15">
      <c r="G29" s="67"/>
      <c r="K29" s="97"/>
      <c r="L29" s="386"/>
      <c r="N29" s="13"/>
      <c r="O29" s="13"/>
    </row>
    <row r="30" spans="3:15">
      <c r="G30" s="67"/>
      <c r="K30" s="97"/>
      <c r="L30" s="386"/>
      <c r="N30" s="13"/>
      <c r="O30" s="13"/>
    </row>
    <row r="31" spans="3:15">
      <c r="G31" s="67"/>
      <c r="K31" s="97"/>
      <c r="N31" s="13"/>
      <c r="O31" s="13"/>
    </row>
    <row r="32" spans="3:15">
      <c r="G32" s="67"/>
      <c r="K32" s="97"/>
      <c r="N32" s="13"/>
      <c r="O32" s="13"/>
    </row>
    <row r="33" spans="7:15">
      <c r="G33" s="67"/>
      <c r="K33" s="97"/>
      <c r="L33" s="13"/>
      <c r="N33" s="13"/>
      <c r="O33" s="13"/>
    </row>
    <row r="34" spans="7:15">
      <c r="G34" s="67"/>
      <c r="K34" s="97"/>
      <c r="L34" s="13"/>
      <c r="N34" s="13"/>
      <c r="O34" s="13"/>
    </row>
    <row r="35" spans="7:15">
      <c r="G35" s="67"/>
      <c r="K35" s="97"/>
      <c r="L35" s="13"/>
      <c r="N35" s="13"/>
      <c r="O35" s="13"/>
    </row>
    <row r="36" spans="7:15">
      <c r="G36" s="67"/>
      <c r="K36" s="97"/>
      <c r="L36" s="13"/>
      <c r="N36" s="13"/>
      <c r="O36" s="13"/>
    </row>
    <row r="37" spans="7:15">
      <c r="G37" s="67"/>
      <c r="K37" s="97"/>
      <c r="L37" s="13"/>
      <c r="N37" s="13"/>
      <c r="O37" s="13"/>
    </row>
    <row r="38" spans="7:15">
      <c r="G38" s="67"/>
      <c r="K38" s="97"/>
      <c r="L38" s="13"/>
      <c r="N38" s="13"/>
      <c r="O38" s="13"/>
    </row>
    <row r="39" spans="7:15">
      <c r="G39" s="67"/>
      <c r="K39" s="97"/>
      <c r="L39" s="13"/>
      <c r="N39" s="13"/>
      <c r="O39" s="13"/>
    </row>
    <row r="40" spans="7:15">
      <c r="G40" s="67"/>
      <c r="K40" s="97"/>
      <c r="L40" s="13"/>
      <c r="N40" s="13"/>
      <c r="O40" s="13"/>
    </row>
    <row r="41" spans="7:15">
      <c r="G41" s="67"/>
      <c r="K41" s="97"/>
      <c r="L41" s="13"/>
      <c r="N41" s="13"/>
      <c r="O41" s="13"/>
    </row>
    <row r="42" spans="7:15">
      <c r="G42" s="67"/>
      <c r="K42" s="97"/>
      <c r="L42" s="13"/>
      <c r="N42" s="13"/>
      <c r="O42" s="13"/>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0" tint="-0.249977111117893"/>
  </sheetPr>
  <dimension ref="A1:V33"/>
  <sheetViews>
    <sheetView zoomScaleNormal="100" workbookViewId="0">
      <pane ySplit="6" topLeftCell="A7" activePane="bottomLeft" state="frozen"/>
      <selection activeCell="K30" sqref="I28:K30"/>
      <selection pane="bottomLeft" activeCell="H15" sqref="H15"/>
    </sheetView>
  </sheetViews>
  <sheetFormatPr defaultColWidth="10.875" defaultRowHeight="12"/>
  <cols>
    <col min="1" max="1" width="9.75" style="13" customWidth="1"/>
    <col min="2" max="2" width="7.125" style="13" bestFit="1" customWidth="1"/>
    <col min="3" max="3" width="10.125" style="13" bestFit="1" customWidth="1"/>
    <col min="4" max="4" width="13" style="13" bestFit="1" customWidth="1"/>
    <col min="5" max="5" width="28" style="13" customWidth="1"/>
    <col min="6" max="6" width="37.75" style="13" bestFit="1" customWidth="1"/>
    <col min="7" max="7" width="12.25" style="13" bestFit="1" customWidth="1"/>
    <col min="8" max="8" width="13.875" style="65" bestFit="1" customWidth="1"/>
    <col min="9" max="9" width="14" style="65" bestFit="1" customWidth="1"/>
    <col min="10" max="10" width="15.25" style="126" bestFit="1" customWidth="1"/>
    <col min="11" max="11" width="10.875" style="13" customWidth="1"/>
    <col min="12" max="12" width="12.625" style="60" bestFit="1" customWidth="1"/>
    <col min="13" max="13" width="10.875" style="13" bestFit="1" customWidth="1"/>
    <col min="14" max="14" width="15.25" style="12" bestFit="1" customWidth="1"/>
    <col min="15" max="15" width="12.625" style="41" bestFit="1" customWidth="1"/>
    <col min="16" max="16" width="10.625" style="13" bestFit="1" customWidth="1"/>
    <col min="17" max="17" width="10.25" style="13" bestFit="1" customWidth="1"/>
    <col min="18" max="18" width="42.25" style="13" bestFit="1" customWidth="1"/>
    <col min="19" max="19" width="37.875" style="13" bestFit="1" customWidth="1"/>
    <col min="20" max="16384" width="10.875" style="13"/>
  </cols>
  <sheetData>
    <row r="1" spans="1:22" s="17" customFormat="1" ht="11.4">
      <c r="A1" s="16" t="s">
        <v>12</v>
      </c>
      <c r="B1" s="288"/>
      <c r="C1" s="288"/>
      <c r="E1" s="375">
        <f>Totals!G8</f>
        <v>224743357</v>
      </c>
      <c r="F1" s="18"/>
      <c r="G1" s="18"/>
      <c r="H1" s="324"/>
      <c r="I1" s="325"/>
      <c r="J1" s="281"/>
      <c r="K1" s="281"/>
      <c r="L1" s="325"/>
      <c r="M1" s="281"/>
      <c r="N1" s="324"/>
      <c r="O1" s="324"/>
      <c r="P1" s="281"/>
      <c r="R1" s="282"/>
      <c r="S1" s="5"/>
      <c r="T1" s="5"/>
      <c r="U1" s="5"/>
      <c r="V1" s="5"/>
    </row>
    <row r="2" spans="1:22" s="5" customFormat="1" ht="11.4">
      <c r="A2" s="25" t="s">
        <v>1</v>
      </c>
      <c r="B2" s="48"/>
      <c r="C2" s="48"/>
      <c r="E2" s="26"/>
      <c r="F2" s="26"/>
      <c r="G2" s="26"/>
      <c r="H2" s="46"/>
      <c r="I2" s="47"/>
      <c r="J2" s="6"/>
      <c r="K2" s="6"/>
      <c r="L2" s="47"/>
      <c r="M2" s="6"/>
      <c r="N2" s="46" t="s">
        <v>53</v>
      </c>
      <c r="O2" s="46"/>
      <c r="P2" s="6"/>
      <c r="R2" s="283"/>
    </row>
    <row r="3" spans="1:22" s="1" customFormat="1">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t="s">
        <v>9</v>
      </c>
      <c r="Q6" s="38"/>
      <c r="R6" s="376" t="s">
        <v>9</v>
      </c>
      <c r="S6" s="13"/>
      <c r="T6" s="13"/>
      <c r="U6" s="13"/>
      <c r="V6" s="13"/>
    </row>
    <row r="7" spans="1:22">
      <c r="A7" s="548" t="s">
        <v>146</v>
      </c>
      <c r="B7" s="548" t="s">
        <v>146</v>
      </c>
      <c r="C7" s="548">
        <v>5461</v>
      </c>
      <c r="D7" s="548" t="s">
        <v>316</v>
      </c>
      <c r="E7" s="548" t="s">
        <v>76</v>
      </c>
      <c r="F7" s="548" t="s">
        <v>523</v>
      </c>
      <c r="G7" s="548" t="s">
        <v>78</v>
      </c>
      <c r="H7" s="286">
        <v>5000000</v>
      </c>
      <c r="I7" s="286">
        <f>H7</f>
        <v>5000000</v>
      </c>
      <c r="J7" s="549">
        <v>44587</v>
      </c>
      <c r="K7" s="549">
        <f>J7+35</f>
        <v>44622</v>
      </c>
      <c r="L7" s="286">
        <v>5000000</v>
      </c>
      <c r="M7" s="549">
        <f>J7+180</f>
        <v>44767</v>
      </c>
      <c r="N7" s="286">
        <v>0</v>
      </c>
      <c r="O7" s="286">
        <f>L7-N7</f>
        <v>5000000</v>
      </c>
      <c r="P7" s="549">
        <v>44624</v>
      </c>
      <c r="Q7" s="548" t="s">
        <v>206</v>
      </c>
      <c r="R7" s="540" t="s">
        <v>525</v>
      </c>
      <c r="S7" s="439" t="s">
        <v>528</v>
      </c>
    </row>
    <row r="8" spans="1:22" s="5" customFormat="1" ht="11.4">
      <c r="A8" s="5" t="s">
        <v>146</v>
      </c>
      <c r="B8" s="5" t="s">
        <v>146</v>
      </c>
      <c r="C8" s="5">
        <v>5471</v>
      </c>
      <c r="D8" s="5" t="s">
        <v>507</v>
      </c>
      <c r="E8" s="5" t="s">
        <v>76</v>
      </c>
      <c r="F8" s="5" t="s">
        <v>373</v>
      </c>
      <c r="G8" s="5" t="s">
        <v>78</v>
      </c>
      <c r="H8" s="341">
        <v>6000000</v>
      </c>
      <c r="I8" s="341">
        <f>H8</f>
        <v>6000000</v>
      </c>
      <c r="J8" s="6">
        <v>44595</v>
      </c>
      <c r="K8" s="6">
        <f>J8+35</f>
        <v>44630</v>
      </c>
      <c r="L8" s="341">
        <v>6000000</v>
      </c>
      <c r="M8" s="6">
        <f>J8+180</f>
        <v>44775</v>
      </c>
      <c r="N8" s="341"/>
      <c r="O8" s="341"/>
      <c r="P8" s="6"/>
      <c r="Q8" s="5" t="s">
        <v>247</v>
      </c>
      <c r="R8" s="523" t="s">
        <v>548</v>
      </c>
      <c r="S8" s="371" t="s">
        <v>528</v>
      </c>
    </row>
    <row r="9" spans="1:22" s="89" customFormat="1" ht="11.4">
      <c r="A9" s="89" t="s">
        <v>146</v>
      </c>
      <c r="B9" s="89" t="s">
        <v>146</v>
      </c>
      <c r="C9" s="89">
        <v>5505</v>
      </c>
      <c r="D9" s="89" t="s">
        <v>507</v>
      </c>
      <c r="E9" s="89" t="s">
        <v>76</v>
      </c>
      <c r="F9" s="89" t="s">
        <v>560</v>
      </c>
      <c r="G9" s="89" t="s">
        <v>397</v>
      </c>
      <c r="H9" s="509">
        <v>48000000</v>
      </c>
      <c r="I9" s="509">
        <f>H9</f>
        <v>48000000</v>
      </c>
      <c r="J9" s="91">
        <v>44603</v>
      </c>
      <c r="K9" s="91">
        <f>J9+35</f>
        <v>44638</v>
      </c>
      <c r="L9" s="509">
        <v>48000000</v>
      </c>
      <c r="M9" s="91">
        <f>J9+180</f>
        <v>44783</v>
      </c>
      <c r="N9" s="509"/>
      <c r="O9" s="509"/>
      <c r="P9" s="91"/>
      <c r="Q9" s="89" t="s">
        <v>255</v>
      </c>
      <c r="R9" s="524"/>
      <c r="S9" s="510" t="s">
        <v>569</v>
      </c>
    </row>
    <row r="10" spans="1:22">
      <c r="H10" s="286"/>
      <c r="I10" s="286"/>
      <c r="J10" s="11"/>
      <c r="K10" s="11"/>
      <c r="L10" s="286"/>
      <c r="M10" s="11"/>
      <c r="N10" s="286"/>
      <c r="O10" s="286"/>
      <c r="P10" s="11"/>
      <c r="R10" s="340"/>
    </row>
    <row r="11" spans="1:22">
      <c r="A11" s="43"/>
      <c r="B11" s="43"/>
      <c r="C11" s="43"/>
      <c r="D11" s="43"/>
      <c r="E11" s="1"/>
      <c r="F11" s="13" t="s">
        <v>19</v>
      </c>
      <c r="H11" s="261">
        <f>SUM(H7:H9)</f>
        <v>59000000</v>
      </c>
      <c r="I11" s="261">
        <f>SUM(I7:I9)</f>
        <v>59000000</v>
      </c>
      <c r="J11" s="10"/>
      <c r="K11" s="10"/>
      <c r="L11" s="261">
        <f>SUM(L7:L9)</f>
        <v>59000000</v>
      </c>
      <c r="M11" s="10"/>
      <c r="N11" s="261">
        <f t="shared" ref="N11:O11" si="0">SUM(N7:N9)</f>
        <v>0</v>
      </c>
      <c r="O11" s="261">
        <f t="shared" si="0"/>
        <v>5000000</v>
      </c>
    </row>
    <row r="12" spans="1:22" s="1" customFormat="1">
      <c r="A12" s="5"/>
      <c r="B12" s="5"/>
      <c r="C12" s="5"/>
      <c r="D12" s="87"/>
      <c r="F12" s="13"/>
      <c r="H12" s="76"/>
      <c r="J12" s="11"/>
      <c r="K12" s="11"/>
      <c r="L12" s="9"/>
      <c r="M12" s="6"/>
      <c r="Q12" s="13"/>
    </row>
    <row r="13" spans="1:22" s="1" customFormat="1">
      <c r="A13" s="5"/>
      <c r="B13" s="5"/>
      <c r="C13" s="5"/>
      <c r="E13" s="5"/>
      <c r="F13" s="13" t="s">
        <v>43</v>
      </c>
      <c r="G13" s="5"/>
      <c r="H13" s="34">
        <f>H11-I11</f>
        <v>0</v>
      </c>
      <c r="I13" s="9"/>
      <c r="K13" s="3"/>
      <c r="L13" s="9"/>
      <c r="M13" s="3"/>
      <c r="Q13" s="13"/>
    </row>
    <row r="14" spans="1:22" s="1" customFormat="1">
      <c r="A14" s="5"/>
      <c r="B14" s="5"/>
      <c r="C14" s="5"/>
      <c r="E14" s="5"/>
      <c r="G14" s="5"/>
      <c r="H14" s="67"/>
      <c r="I14" s="9"/>
      <c r="J14" s="3"/>
      <c r="K14" s="137"/>
      <c r="L14" s="9"/>
      <c r="M14" s="3"/>
      <c r="N14" s="76"/>
      <c r="Q14" s="13"/>
    </row>
    <row r="15" spans="1:22" s="1" customFormat="1">
      <c r="A15" s="5"/>
      <c r="B15" s="5"/>
      <c r="C15" s="5"/>
      <c r="E15" s="132"/>
      <c r="F15" s="58" t="s">
        <v>10</v>
      </c>
      <c r="G15" s="5"/>
      <c r="H15" s="77">
        <f>E1-I11+O11+G26</f>
        <v>224743357</v>
      </c>
      <c r="I15" s="193"/>
      <c r="J15" s="137"/>
      <c r="L15" s="166"/>
      <c r="M15" s="137"/>
      <c r="N15" s="342"/>
      <c r="O15" s="2"/>
      <c r="Q15" s="13"/>
    </row>
    <row r="16" spans="1:22">
      <c r="I16" s="298"/>
      <c r="L16" s="51"/>
      <c r="M16" s="11"/>
      <c r="N16" s="342"/>
      <c r="O16" s="2"/>
    </row>
    <row r="17" spans="3:15">
      <c r="H17" s="34"/>
      <c r="I17" s="127"/>
      <c r="J17" s="11"/>
      <c r="K17" s="60"/>
      <c r="L17" s="199"/>
      <c r="M17" s="386"/>
      <c r="N17" s="401"/>
      <c r="O17" s="387"/>
    </row>
    <row r="18" spans="3:15">
      <c r="F18" s="58"/>
      <c r="G18" s="260"/>
      <c r="I18" s="44"/>
      <c r="J18" s="49"/>
      <c r="K18" s="60"/>
      <c r="L18" s="11"/>
      <c r="M18" s="12"/>
      <c r="N18" s="391"/>
      <c r="O18" s="13"/>
    </row>
    <row r="19" spans="3:15">
      <c r="G19" s="10"/>
      <c r="H19" s="285"/>
      <c r="I19" s="163"/>
      <c r="M19" s="49"/>
      <c r="N19" s="386"/>
    </row>
    <row r="20" spans="3:15">
      <c r="E20" s="439"/>
      <c r="G20" s="10"/>
      <c r="H20" s="285"/>
      <c r="I20" s="163"/>
      <c r="J20" s="12"/>
      <c r="L20" s="421"/>
      <c r="M20" s="49"/>
    </row>
    <row r="21" spans="3:15">
      <c r="G21" s="10"/>
      <c r="H21" s="285"/>
      <c r="I21" s="163"/>
      <c r="M21" s="49"/>
    </row>
    <row r="22" spans="3:15">
      <c r="C22" s="13">
        <v>5246</v>
      </c>
      <c r="D22" s="13" t="s">
        <v>77</v>
      </c>
      <c r="E22" s="13" t="s">
        <v>76</v>
      </c>
      <c r="F22" s="36" t="s">
        <v>94</v>
      </c>
      <c r="G22" s="10">
        <f>6000000+6550000</f>
        <v>12550000</v>
      </c>
      <c r="H22" s="467" t="s">
        <v>600</v>
      </c>
      <c r="I22" s="163"/>
      <c r="M22" s="49"/>
    </row>
    <row r="23" spans="3:15">
      <c r="C23" s="13">
        <v>5425</v>
      </c>
      <c r="D23" s="13" t="s">
        <v>77</v>
      </c>
      <c r="E23" s="13" t="s">
        <v>76</v>
      </c>
      <c r="F23" s="36" t="s">
        <v>94</v>
      </c>
      <c r="G23" s="10">
        <v>6000000</v>
      </c>
      <c r="H23" s="467" t="s">
        <v>566</v>
      </c>
      <c r="I23" s="163"/>
      <c r="M23" s="49"/>
    </row>
    <row r="24" spans="3:15">
      <c r="C24" s="13">
        <v>5426</v>
      </c>
      <c r="D24" s="13" t="s">
        <v>77</v>
      </c>
      <c r="E24" s="13" t="s">
        <v>76</v>
      </c>
      <c r="F24" s="36" t="s">
        <v>94</v>
      </c>
      <c r="G24" s="10">
        <v>5000000</v>
      </c>
      <c r="H24" s="467" t="s">
        <v>567</v>
      </c>
      <c r="I24" s="163"/>
      <c r="M24" s="49"/>
    </row>
    <row r="25" spans="3:15">
      <c r="C25" s="13">
        <v>5427</v>
      </c>
      <c r="D25" s="13" t="s">
        <v>77</v>
      </c>
      <c r="E25" s="13" t="s">
        <v>76</v>
      </c>
      <c r="F25" s="13" t="s">
        <v>94</v>
      </c>
      <c r="G25" s="458">
        <v>30450000</v>
      </c>
      <c r="H25" s="467" t="s">
        <v>568</v>
      </c>
      <c r="I25" s="163"/>
      <c r="M25" s="49"/>
    </row>
    <row r="26" spans="3:15">
      <c r="G26" s="291">
        <f>SUM(G22:G25)</f>
        <v>54000000</v>
      </c>
      <c r="J26" s="11"/>
    </row>
    <row r="27" spans="3:15">
      <c r="J27" s="11"/>
    </row>
    <row r="28" spans="3:15">
      <c r="J28" s="11"/>
      <c r="N28" s="386"/>
    </row>
    <row r="29" spans="3:15">
      <c r="G29" s="10"/>
      <c r="N29" s="386"/>
    </row>
    <row r="30" spans="3:15">
      <c r="G30" s="10"/>
    </row>
    <row r="31" spans="3:15">
      <c r="F31" s="36"/>
    </row>
    <row r="32" spans="3:15">
      <c r="F32" s="36"/>
      <c r="H32" s="13"/>
      <c r="J32" s="11"/>
    </row>
    <row r="33" spans="10:10">
      <c r="J33" s="11"/>
    </row>
  </sheetData>
  <phoneticPr fontId="0" type="noConversion"/>
  <pageMargins left="0.75" right="0.75" top="1" bottom="1" header="0.5" footer="0.5"/>
  <pageSetup scale="80" fitToHeight="2" orientation="landscape" horizontalDpi="4294967292" vertic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theme="0" tint="-0.249977111117893"/>
  </sheetPr>
  <dimension ref="A1:V30"/>
  <sheetViews>
    <sheetView zoomScaleNormal="100" workbookViewId="0">
      <selection activeCell="H18" sqref="H18"/>
    </sheetView>
  </sheetViews>
  <sheetFormatPr defaultColWidth="9.125" defaultRowHeight="12"/>
  <cols>
    <col min="1" max="1" width="9" style="1" customWidth="1"/>
    <col min="2" max="2" width="6.625" style="1" bestFit="1" customWidth="1"/>
    <col min="3" max="3" width="10.125" style="1" customWidth="1"/>
    <col min="4" max="4" width="13.25" style="1" bestFit="1" customWidth="1"/>
    <col min="5" max="5" width="27.625" style="1" bestFit="1" customWidth="1"/>
    <col min="6" max="6" width="51.75" style="1" bestFit="1" customWidth="1"/>
    <col min="7" max="7" width="14.375" style="1" customWidth="1"/>
    <col min="8" max="8" width="16" style="1" customWidth="1"/>
    <col min="9" max="9" width="14" style="1" bestFit="1" customWidth="1"/>
    <col min="10" max="10" width="14" style="1" customWidth="1"/>
    <col min="11" max="11" width="10.875" style="1" customWidth="1"/>
    <col min="12" max="12" width="12.875" style="1" customWidth="1"/>
    <col min="13" max="13" width="10.375" style="1" customWidth="1"/>
    <col min="14" max="14" width="14" style="1" customWidth="1"/>
    <col min="15" max="15" width="14" style="139" bestFit="1" customWidth="1"/>
    <col min="16" max="16" width="9.875" style="1" customWidth="1"/>
    <col min="17" max="17" width="9.125" style="1" bestFit="1" customWidth="1"/>
    <col min="18" max="18" width="43.125" style="1" bestFit="1" customWidth="1"/>
    <col min="19" max="19" width="20" style="1" bestFit="1" customWidth="1"/>
    <col min="20" max="16384" width="9.125" style="1"/>
  </cols>
  <sheetData>
    <row r="1" spans="1:22" s="17" customFormat="1" ht="11.4">
      <c r="A1" s="16" t="s">
        <v>12</v>
      </c>
      <c r="B1" s="288"/>
      <c r="C1" s="288"/>
      <c r="E1" s="372">
        <f>'REGION 1'!H14+'REGION 2'!H14+'REGION 3'!H29+'REGION 4'!H14+'REGION 5'!H14+'REGION 6'!H19+'REGION 7'!H16+'REGION 8'!H14+'REGION 9'!H15+'REGION 10'!H14+'REGION 11'!H14+'REGION 12'!H14+'REGION 13'!H14</f>
        <v>460827707</v>
      </c>
      <c r="F1" s="18"/>
      <c r="G1" s="18"/>
      <c r="H1" s="324"/>
      <c r="I1" s="325"/>
      <c r="J1" s="281"/>
      <c r="K1" s="281"/>
      <c r="L1" s="325"/>
      <c r="M1" s="281"/>
      <c r="N1" s="324"/>
      <c r="O1" s="324"/>
      <c r="P1" s="281"/>
      <c r="R1" s="282"/>
      <c r="S1" s="5"/>
      <c r="T1" s="5"/>
      <c r="U1" s="5"/>
      <c r="V1" s="5"/>
    </row>
    <row r="2" spans="1:22" s="5" customFormat="1" ht="11.4">
      <c r="A2" s="25" t="s">
        <v>159</v>
      </c>
      <c r="B2" s="48"/>
      <c r="C2" s="48"/>
      <c r="E2" s="26"/>
      <c r="F2" s="26"/>
      <c r="G2" s="26"/>
      <c r="H2" s="46"/>
      <c r="I2" s="47"/>
      <c r="J2" s="6"/>
      <c r="K2" s="6"/>
      <c r="L2" s="47"/>
      <c r="M2" s="6"/>
      <c r="N2" s="46"/>
      <c r="O2" s="46"/>
      <c r="P2" s="6"/>
      <c r="R2" s="283"/>
    </row>
    <row r="3" spans="1:22">
      <c r="A3" s="31"/>
      <c r="B3" s="5"/>
      <c r="C3" s="5"/>
      <c r="D3" s="5"/>
      <c r="E3" s="5"/>
      <c r="F3" s="5"/>
      <c r="G3" s="5"/>
      <c r="H3" s="46"/>
      <c r="I3" s="125"/>
      <c r="J3" s="6"/>
      <c r="K3" s="6"/>
      <c r="L3" s="209"/>
      <c r="M3" s="6"/>
      <c r="N3" s="54"/>
      <c r="O3" s="54"/>
      <c r="P3" s="6"/>
      <c r="R3" s="284"/>
    </row>
    <row r="4" spans="1:22" s="5" customFormat="1">
      <c r="A4" s="31" t="s">
        <v>203</v>
      </c>
      <c r="B4" s="5" t="s">
        <v>205</v>
      </c>
      <c r="C4" s="5" t="s">
        <v>32</v>
      </c>
      <c r="D4" s="5" t="s">
        <v>37</v>
      </c>
      <c r="E4" s="5" t="s">
        <v>31</v>
      </c>
      <c r="F4" s="26" t="s">
        <v>49</v>
      </c>
      <c r="G4" s="26" t="s">
        <v>45</v>
      </c>
      <c r="H4" s="83" t="s">
        <v>23</v>
      </c>
      <c r="I4" s="32" t="s">
        <v>8</v>
      </c>
      <c r="J4" s="6" t="s">
        <v>14</v>
      </c>
      <c r="K4" s="6" t="s">
        <v>34</v>
      </c>
      <c r="L4" s="32" t="s">
        <v>4</v>
      </c>
      <c r="M4" s="6" t="s">
        <v>156</v>
      </c>
      <c r="N4" s="32" t="s">
        <v>27</v>
      </c>
      <c r="O4" s="32" t="s">
        <v>44</v>
      </c>
      <c r="P4" s="6" t="s">
        <v>22</v>
      </c>
      <c r="Q4" s="5" t="s">
        <v>171</v>
      </c>
      <c r="R4" s="30" t="s">
        <v>264</v>
      </c>
      <c r="S4" s="13"/>
      <c r="T4" s="13"/>
      <c r="U4" s="13"/>
      <c r="V4" s="13"/>
    </row>
    <row r="5" spans="1:22" s="5" customFormat="1">
      <c r="A5" s="31" t="s">
        <v>204</v>
      </c>
      <c r="B5" s="5" t="s">
        <v>204</v>
      </c>
      <c r="C5" s="5" t="s">
        <v>48</v>
      </c>
      <c r="D5" s="13"/>
      <c r="F5" s="26"/>
      <c r="G5" s="26"/>
      <c r="H5" s="83" t="s">
        <v>42</v>
      </c>
      <c r="I5" s="32" t="s">
        <v>42</v>
      </c>
      <c r="J5" s="6" t="s">
        <v>9</v>
      </c>
      <c r="K5" s="6" t="s">
        <v>18</v>
      </c>
      <c r="L5" s="32" t="s">
        <v>42</v>
      </c>
      <c r="M5" s="6" t="s">
        <v>18</v>
      </c>
      <c r="N5" s="32" t="s">
        <v>42</v>
      </c>
      <c r="O5" s="32" t="s">
        <v>42</v>
      </c>
      <c r="P5" s="6" t="s">
        <v>5</v>
      </c>
      <c r="Q5" s="5" t="s">
        <v>170</v>
      </c>
      <c r="R5" s="30" t="s">
        <v>265</v>
      </c>
      <c r="S5" s="13"/>
      <c r="T5" s="13"/>
      <c r="U5" s="13"/>
      <c r="V5" s="13"/>
    </row>
    <row r="6" spans="1:22" s="5" customFormat="1" ht="12.6" thickBot="1">
      <c r="A6" s="37"/>
      <c r="B6" s="33"/>
      <c r="C6" s="33" t="s">
        <v>172</v>
      </c>
      <c r="D6" s="38"/>
      <c r="E6" s="33"/>
      <c r="F6" s="39"/>
      <c r="G6" s="39"/>
      <c r="H6" s="129"/>
      <c r="I6" s="55"/>
      <c r="J6" s="40"/>
      <c r="K6" s="40"/>
      <c r="L6" s="55"/>
      <c r="M6" s="40"/>
      <c r="N6" s="55"/>
      <c r="O6" s="55"/>
      <c r="P6" s="40"/>
      <c r="Q6" s="38"/>
      <c r="R6" s="376" t="s">
        <v>9</v>
      </c>
      <c r="S6" s="13"/>
      <c r="T6" s="13"/>
      <c r="U6" s="13"/>
      <c r="V6" s="13"/>
    </row>
    <row r="7" spans="1:22" s="13" customFormat="1">
      <c r="A7" s="13">
        <v>27</v>
      </c>
      <c r="B7" s="13">
        <v>33</v>
      </c>
      <c r="C7" s="13" t="s">
        <v>430</v>
      </c>
      <c r="D7" s="13" t="s">
        <v>315</v>
      </c>
      <c r="E7" s="13" t="s">
        <v>249</v>
      </c>
      <c r="F7" s="36" t="s">
        <v>438</v>
      </c>
      <c r="G7" s="36" t="s">
        <v>78</v>
      </c>
      <c r="H7" s="409">
        <v>0</v>
      </c>
      <c r="I7" s="286"/>
      <c r="J7" s="11"/>
      <c r="K7" s="11"/>
      <c r="L7" s="286"/>
      <c r="M7" s="11"/>
      <c r="N7" s="286"/>
      <c r="O7" s="286"/>
      <c r="P7" s="11"/>
      <c r="Q7" s="13" t="s">
        <v>247</v>
      </c>
      <c r="R7" s="92" t="s">
        <v>605</v>
      </c>
    </row>
    <row r="8" spans="1:22" s="5" customFormat="1" ht="11.4">
      <c r="A8" s="5">
        <v>34</v>
      </c>
      <c r="B8" s="5">
        <v>38</v>
      </c>
      <c r="C8" s="5">
        <v>5513</v>
      </c>
      <c r="D8" s="5" t="s">
        <v>507</v>
      </c>
      <c r="E8" s="5" t="s">
        <v>97</v>
      </c>
      <c r="F8" s="26" t="s">
        <v>443</v>
      </c>
      <c r="G8" s="26" t="s">
        <v>95</v>
      </c>
      <c r="H8" s="344">
        <v>39000000</v>
      </c>
      <c r="I8" s="341">
        <f>H8</f>
        <v>39000000</v>
      </c>
      <c r="J8" s="6">
        <v>44625</v>
      </c>
      <c r="K8" s="6">
        <f>J8+35</f>
        <v>44660</v>
      </c>
      <c r="L8" s="341"/>
      <c r="M8" s="6">
        <f>J8+180</f>
        <v>44805</v>
      </c>
      <c r="N8" s="341"/>
      <c r="O8" s="341"/>
      <c r="P8" s="6"/>
      <c r="Q8" s="5" t="s">
        <v>255</v>
      </c>
      <c r="R8" s="141"/>
      <c r="S8" s="371"/>
    </row>
    <row r="9" spans="1:22" s="13" customFormat="1">
      <c r="A9" s="13">
        <v>35</v>
      </c>
      <c r="B9" s="13">
        <v>39</v>
      </c>
      <c r="C9" s="13">
        <v>5514</v>
      </c>
      <c r="D9" s="13" t="s">
        <v>315</v>
      </c>
      <c r="E9" s="13" t="s">
        <v>249</v>
      </c>
      <c r="F9" s="36" t="s">
        <v>444</v>
      </c>
      <c r="G9" s="36" t="s">
        <v>78</v>
      </c>
      <c r="H9" s="409">
        <v>53000000</v>
      </c>
      <c r="I9" s="286">
        <f>H9</f>
        <v>53000000</v>
      </c>
      <c r="J9" s="11">
        <v>44625</v>
      </c>
      <c r="K9" s="11">
        <f>J9+35</f>
        <v>44660</v>
      </c>
      <c r="L9" s="286">
        <v>0</v>
      </c>
      <c r="M9" s="11">
        <f>J9+180</f>
        <v>44805</v>
      </c>
      <c r="N9" s="286"/>
      <c r="O9" s="286">
        <f>I9-L9</f>
        <v>53000000</v>
      </c>
      <c r="P9" s="11">
        <v>44632</v>
      </c>
      <c r="Q9" s="13" t="s">
        <v>255</v>
      </c>
      <c r="R9" s="92"/>
    </row>
    <row r="10" spans="1:22" s="13" customFormat="1">
      <c r="A10" s="13">
        <v>50</v>
      </c>
      <c r="B10" s="13">
        <v>50</v>
      </c>
      <c r="C10" s="13">
        <v>5515</v>
      </c>
      <c r="D10" s="13" t="s">
        <v>315</v>
      </c>
      <c r="E10" s="13" t="s">
        <v>250</v>
      </c>
      <c r="F10" s="36" t="s">
        <v>446</v>
      </c>
      <c r="G10" s="36" t="s">
        <v>209</v>
      </c>
      <c r="H10" s="409">
        <v>50000000</v>
      </c>
      <c r="I10" s="286">
        <f>H10</f>
        <v>50000000</v>
      </c>
      <c r="J10" s="11">
        <v>44625</v>
      </c>
      <c r="K10" s="11">
        <f>J10+35</f>
        <v>44660</v>
      </c>
      <c r="L10" s="286">
        <v>0</v>
      </c>
      <c r="M10" s="11">
        <f>J10+180</f>
        <v>44805</v>
      </c>
      <c r="N10" s="286"/>
      <c r="O10" s="286">
        <f>I10-L10</f>
        <v>50000000</v>
      </c>
      <c r="P10" s="11">
        <v>44630</v>
      </c>
      <c r="Q10" s="13" t="s">
        <v>255</v>
      </c>
      <c r="R10" s="92"/>
    </row>
    <row r="11" spans="1:22" s="5" customFormat="1" ht="11.4">
      <c r="A11" s="5" t="s">
        <v>146</v>
      </c>
      <c r="B11" s="5" t="s">
        <v>146</v>
      </c>
      <c r="C11" s="5">
        <v>5516</v>
      </c>
      <c r="D11" s="5" t="s">
        <v>507</v>
      </c>
      <c r="E11" s="5" t="s">
        <v>249</v>
      </c>
      <c r="F11" s="26" t="s">
        <v>514</v>
      </c>
      <c r="G11" s="26" t="s">
        <v>78</v>
      </c>
      <c r="H11" s="344">
        <v>30000000</v>
      </c>
      <c r="I11" s="341">
        <f>H11</f>
        <v>30000000</v>
      </c>
      <c r="J11" s="6">
        <v>44628</v>
      </c>
      <c r="K11" s="6">
        <f>J11+35</f>
        <v>44663</v>
      </c>
      <c r="L11" s="341"/>
      <c r="M11" s="6">
        <f>J11+180</f>
        <v>44808</v>
      </c>
      <c r="N11" s="341"/>
      <c r="O11" s="341"/>
      <c r="P11" s="6"/>
      <c r="Q11" s="5" t="s">
        <v>255</v>
      </c>
      <c r="R11" s="141"/>
    </row>
    <row r="12" spans="1:22" s="89" customFormat="1" ht="11.4">
      <c r="A12" s="89" t="s">
        <v>146</v>
      </c>
      <c r="B12" s="89" t="s">
        <v>146</v>
      </c>
      <c r="C12" s="89">
        <v>5517</v>
      </c>
      <c r="D12" s="89" t="s">
        <v>507</v>
      </c>
      <c r="E12" s="89" t="s">
        <v>593</v>
      </c>
      <c r="F12" s="88" t="s">
        <v>594</v>
      </c>
      <c r="G12" s="88" t="s">
        <v>298</v>
      </c>
      <c r="H12" s="507">
        <v>20000000</v>
      </c>
      <c r="I12" s="509">
        <f>H12</f>
        <v>20000000</v>
      </c>
      <c r="J12" s="91">
        <v>44628</v>
      </c>
      <c r="K12" s="91">
        <f>J12+35</f>
        <v>44663</v>
      </c>
      <c r="L12" s="509"/>
      <c r="M12" s="91">
        <f>J12+180</f>
        <v>44808</v>
      </c>
      <c r="N12" s="509"/>
      <c r="O12" s="509"/>
      <c r="P12" s="91"/>
      <c r="Q12" s="89" t="s">
        <v>255</v>
      </c>
      <c r="R12" s="512"/>
    </row>
    <row r="13" spans="1:22">
      <c r="A13" s="13"/>
      <c r="B13" s="13"/>
      <c r="E13" s="200"/>
      <c r="F13" s="13"/>
      <c r="G13" s="423"/>
      <c r="H13" s="424"/>
      <c r="I13" s="425"/>
      <c r="J13" s="3"/>
      <c r="K13" s="3"/>
      <c r="L13" s="82"/>
      <c r="M13" s="3"/>
    </row>
    <row r="14" spans="1:22">
      <c r="C14" s="13"/>
      <c r="D14" s="13"/>
      <c r="E14" s="13"/>
      <c r="F14" s="13" t="s">
        <v>19</v>
      </c>
      <c r="G14" s="13"/>
      <c r="H14" s="261">
        <f>SUM(H7:H13)</f>
        <v>192000000</v>
      </c>
      <c r="I14" s="261">
        <f>SUM(I7:I13)</f>
        <v>192000000</v>
      </c>
      <c r="J14" s="10"/>
      <c r="K14" s="10"/>
      <c r="L14" s="261">
        <f>SUM(L7:L13)</f>
        <v>0</v>
      </c>
      <c r="M14" s="10"/>
      <c r="N14" s="261">
        <f>SUM(N7:N13)</f>
        <v>0</v>
      </c>
      <c r="O14" s="261">
        <f>SUM(O7:O13)</f>
        <v>103000000</v>
      </c>
      <c r="P14" s="13"/>
    </row>
    <row r="15" spans="1:22">
      <c r="C15" s="43"/>
      <c r="D15" s="43"/>
      <c r="E15" s="147"/>
      <c r="F15" s="13"/>
      <c r="H15" s="76"/>
      <c r="J15" s="11"/>
      <c r="K15" s="11"/>
      <c r="L15" s="9"/>
      <c r="M15" s="6"/>
      <c r="O15" s="1"/>
    </row>
    <row r="16" spans="1:22">
      <c r="F16" s="13" t="s">
        <v>43</v>
      </c>
      <c r="G16" s="5"/>
      <c r="H16" s="34">
        <f>H14-I14</f>
        <v>0</v>
      </c>
      <c r="I16" s="9"/>
      <c r="J16" s="3"/>
      <c r="K16" s="3"/>
      <c r="L16" s="9"/>
      <c r="O16" s="1"/>
    </row>
    <row r="17" spans="1:17">
      <c r="G17" s="5"/>
      <c r="H17" s="67"/>
      <c r="I17" s="9"/>
      <c r="J17" s="3"/>
      <c r="L17" s="9"/>
      <c r="N17" s="76"/>
      <c r="O17" s="1"/>
    </row>
    <row r="18" spans="1:17">
      <c r="A18" s="43"/>
      <c r="B18" s="43"/>
      <c r="F18" s="58" t="s">
        <v>10</v>
      </c>
      <c r="G18" s="5"/>
      <c r="H18" s="77">
        <f>E1-I14+O14+G24</f>
        <v>371827707</v>
      </c>
      <c r="I18" s="289"/>
      <c r="J18" s="3"/>
      <c r="L18" s="82"/>
      <c r="M18" s="137"/>
      <c r="O18" s="1"/>
      <c r="Q18" s="13"/>
    </row>
    <row r="19" spans="1:17">
      <c r="F19" s="58"/>
      <c r="G19" s="5"/>
      <c r="H19" s="123"/>
      <c r="I19" s="193"/>
      <c r="J19" s="3"/>
      <c r="L19" s="9"/>
      <c r="M19" s="137"/>
      <c r="O19" s="1"/>
    </row>
    <row r="20" spans="1:17">
      <c r="F20" s="58"/>
      <c r="G20" s="5"/>
      <c r="H20" s="123"/>
      <c r="I20" s="289"/>
      <c r="J20" s="3"/>
      <c r="K20" s="3"/>
      <c r="L20" s="9"/>
      <c r="M20" s="137"/>
      <c r="O20" s="1"/>
    </row>
    <row r="21" spans="1:17">
      <c r="C21" s="43"/>
      <c r="D21" s="43"/>
      <c r="E21" s="147"/>
      <c r="F21" s="13"/>
      <c r="G21" s="13"/>
      <c r="H21" s="12"/>
      <c r="I21" s="41"/>
      <c r="J21" s="13"/>
      <c r="K21" s="11"/>
      <c r="L21" s="483"/>
      <c r="M21" s="11"/>
      <c r="N21" s="57"/>
      <c r="O21" s="12"/>
      <c r="P21" s="13"/>
    </row>
    <row r="22" spans="1:17">
      <c r="C22" s="13"/>
      <c r="D22" s="13"/>
      <c r="E22" s="13"/>
      <c r="F22" s="13"/>
      <c r="G22" s="66"/>
      <c r="H22" s="285"/>
      <c r="I22" s="41"/>
      <c r="J22" s="36"/>
      <c r="K22" s="13"/>
      <c r="L22" s="196"/>
      <c r="M22" s="11"/>
      <c r="N22" s="57"/>
      <c r="O22" s="12"/>
      <c r="P22" s="13"/>
    </row>
    <row r="23" spans="1:17">
      <c r="C23" s="13"/>
      <c r="D23" s="13"/>
      <c r="E23" s="13"/>
      <c r="F23" s="13"/>
      <c r="G23" s="460"/>
      <c r="H23" s="285"/>
      <c r="I23" s="41"/>
      <c r="J23" s="36"/>
      <c r="K23" s="13"/>
      <c r="L23" s="196"/>
      <c r="M23" s="11"/>
      <c r="N23" s="57"/>
      <c r="O23" s="12"/>
      <c r="P23" s="13"/>
    </row>
    <row r="24" spans="1:17">
      <c r="F24" s="13"/>
      <c r="G24" s="291">
        <f>SUM(G22:G23)</f>
        <v>0</v>
      </c>
      <c r="H24" s="12"/>
      <c r="I24" s="41"/>
      <c r="J24" s="13"/>
      <c r="K24" s="13"/>
      <c r="L24" s="196"/>
      <c r="M24" s="11"/>
      <c r="N24" s="57"/>
      <c r="O24" s="12"/>
      <c r="P24" s="13"/>
    </row>
    <row r="25" spans="1:17">
      <c r="I25" s="41"/>
      <c r="J25" s="13"/>
      <c r="K25" s="13"/>
      <c r="L25" s="388"/>
      <c r="M25" s="11"/>
      <c r="N25" s="57"/>
      <c r="O25" s="12"/>
      <c r="P25" s="13"/>
    </row>
    <row r="26" spans="1:17">
      <c r="G26" s="82"/>
      <c r="L26" s="400"/>
    </row>
    <row r="27" spans="1:17">
      <c r="C27" s="13"/>
      <c r="D27" s="13"/>
      <c r="E27" s="13"/>
      <c r="F27" s="36"/>
    </row>
    <row r="28" spans="1:17">
      <c r="G28" s="2"/>
    </row>
    <row r="29" spans="1:17">
      <c r="G29" s="139"/>
    </row>
    <row r="30" spans="1:17">
      <c r="G30" s="139"/>
    </row>
  </sheetData>
  <autoFilter ref="A6:S6" xr:uid="{00000000-0001-0000-0600-000000000000}"/>
  <phoneticPr fontId="3" type="noConversion"/>
  <pageMargins left="0.7" right="0.7" top="0.75" bottom="0.75" header="0.3" footer="0.3"/>
  <pageSetup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14</vt:i4>
      </vt:variant>
    </vt:vector>
  </HeadingPairs>
  <TitlesOfParts>
    <vt:vector size="41" baseType="lpstr">
      <vt:lpstr>Totals</vt:lpstr>
      <vt:lpstr>2026 CF</vt:lpstr>
      <vt:lpstr>Aug 15</vt:lpstr>
      <vt:lpstr>SC1 MRB</vt:lpstr>
      <vt:lpstr>SC2 State Voted</vt:lpstr>
      <vt:lpstr>SC3 Small Issue IDBs</vt:lpstr>
      <vt:lpstr>SC4 TSAHC</vt:lpstr>
      <vt:lpstr>SC4 MF- TDHCA</vt:lpstr>
      <vt:lpstr>SC4 MF- Local Collapse</vt:lpstr>
      <vt:lpstr>REGION 1</vt:lpstr>
      <vt:lpstr>REGION 2</vt:lpstr>
      <vt:lpstr>REGION 3</vt:lpstr>
      <vt:lpstr>REGION 4</vt:lpstr>
      <vt:lpstr>REGION 5</vt:lpstr>
      <vt:lpstr>REGION 6</vt:lpstr>
      <vt:lpstr>REGION 7</vt:lpstr>
      <vt:lpstr>REGION 8</vt:lpstr>
      <vt:lpstr>REGION 9</vt:lpstr>
      <vt:lpstr>REGION 10</vt:lpstr>
      <vt:lpstr>REGION 11</vt:lpstr>
      <vt:lpstr>REGION 12</vt:lpstr>
      <vt:lpstr>REGION 13</vt:lpstr>
      <vt:lpstr>SC5 OTHER</vt:lpstr>
      <vt:lpstr>2023 CF</vt:lpstr>
      <vt:lpstr>2024 CF</vt:lpstr>
      <vt:lpstr>2025 CF</vt:lpstr>
      <vt:lpstr>Bond Buyer</vt:lpstr>
      <vt:lpstr>'REGION 6'!_Hlk75159162</vt:lpstr>
      <vt:lpstr>'REGION 1'!Print_Area</vt:lpstr>
      <vt:lpstr>'REGION 2'!Print_Area</vt:lpstr>
      <vt:lpstr>'REGION 3'!Print_Area</vt:lpstr>
      <vt:lpstr>'REGION 6'!Print_Area</vt:lpstr>
      <vt:lpstr>'SC1 MRB'!Print_Area</vt:lpstr>
      <vt:lpstr>'SC2 State Voted'!Print_Area</vt:lpstr>
      <vt:lpstr>'SC3 Small Issue IDBs'!Print_Area</vt:lpstr>
      <vt:lpstr>'SC4 MF- TDHCA'!Print_Area</vt:lpstr>
      <vt:lpstr>'SC5 OTHER'!Print_Area</vt:lpstr>
      <vt:lpstr>Totals!Print_Area</vt:lpstr>
      <vt:lpstr>'SC2 State Voted'!Print_Titles</vt:lpstr>
      <vt:lpstr>'SC3 Small Issue IDBs'!Print_Titles</vt:lpstr>
      <vt:lpstr>'SC4 MF- TDHCA'!Print_Titles</vt:lpstr>
    </vt:vector>
  </TitlesOfParts>
  <Company>Texas Bond Review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Texas Bond Review Board</dc:creator>
  <cp:lastModifiedBy>Jamie Backiel</cp:lastModifiedBy>
  <cp:lastPrinted>2022-04-18T21:23:50Z</cp:lastPrinted>
  <dcterms:created xsi:type="dcterms:W3CDTF">1998-10-28T19:13:07Z</dcterms:created>
  <dcterms:modified xsi:type="dcterms:W3CDTF">2026-03-13T20:55:23Z</dcterms:modified>
</cp:coreProperties>
</file>