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9995" documentId="13_ncr:1_{8C7A796B-1059-4489-A811-88376F7C7A67}" xr6:coauthVersionLast="47" xr6:coauthVersionMax="47" xr10:uidLastSave="{D515B3BA-E04F-483C-AF5A-10D7D21E07A0}"/>
  <bookViews>
    <workbookView xWindow="28680" yWindow="-11055" windowWidth="29040" windowHeight="15720"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MRB'!$A$1:$R$29</definedName>
    <definedName name="_xlnm.Print_Area" localSheetId="4">'SC2 State Voted'!$A$1:$P$25</definedName>
    <definedName name="_xlnm.Print_Area" localSheetId="5">'SC3 Small Issue IDBs'!$A$1:$P$28</definedName>
    <definedName name="_xlnm.Print_Area" localSheetId="7">'SC4 MF- TDHCA'!$A$1:$P$18</definedName>
    <definedName name="_xlnm.Print_Area" localSheetId="22">'SC5 OTHER'!$A$1:$P$57</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7" i="24" l="1"/>
  <c r="O10" i="19"/>
  <c r="M10" i="19"/>
  <c r="O44" i="24"/>
  <c r="M44" i="24"/>
  <c r="M13" i="86"/>
  <c r="I13" i="86"/>
  <c r="K13" i="86"/>
  <c r="M9" i="86"/>
  <c r="L11" i="12"/>
  <c r="M49" i="24"/>
  <c r="K49" i="24"/>
  <c r="I49" i="24"/>
  <c r="M31" i="24"/>
  <c r="M10" i="86"/>
  <c r="M11" i="86" l="1"/>
  <c r="K48" i="24"/>
  <c r="M48" i="24"/>
  <c r="I48" i="24"/>
  <c r="I12" i="86"/>
  <c r="K12" i="86"/>
  <c r="M12" i="86"/>
  <c r="K11" i="86"/>
  <c r="I11" i="86"/>
  <c r="M8" i="86"/>
  <c r="K10" i="86"/>
  <c r="I10" i="86"/>
  <c r="O10" i="86" s="1"/>
  <c r="K9" i="86"/>
  <c r="I9" i="86"/>
  <c r="O9" i="86" s="1"/>
  <c r="K8" i="86"/>
  <c r="I8" i="86"/>
  <c r="O11" i="24"/>
  <c r="M11" i="24"/>
  <c r="K81" i="106"/>
  <c r="G22" i="7"/>
  <c r="O7" i="7"/>
  <c r="M7" i="7"/>
  <c r="O7" i="4"/>
  <c r="B12" i="93"/>
  <c r="T41" i="104"/>
  <c r="M25" i="24"/>
  <c r="M47" i="24"/>
  <c r="K47" i="24"/>
  <c r="I47" i="24"/>
  <c r="G61" i="24"/>
  <c r="G67" i="24" s="1"/>
  <c r="M9" i="24"/>
  <c r="M27" i="24"/>
  <c r="M13" i="18"/>
  <c r="K10" i="19"/>
  <c r="I10" i="19"/>
  <c r="M12" i="18"/>
  <c r="G26" i="7"/>
  <c r="M16" i="12"/>
  <c r="M7" i="44"/>
  <c r="K7" i="44"/>
  <c r="I7" i="44"/>
  <c r="G19" i="44"/>
  <c r="K16" i="12"/>
  <c r="I16" i="12"/>
  <c r="G36" i="12"/>
  <c r="M11" i="18"/>
  <c r="M46" i="24"/>
  <c r="M45" i="24"/>
  <c r="K46" i="24" l="1"/>
  <c r="K45" i="24"/>
  <c r="I46" i="24"/>
  <c r="I45" i="24"/>
  <c r="M9" i="21"/>
  <c r="B9" i="93"/>
  <c r="T33" i="104"/>
  <c r="L33" i="104"/>
  <c r="K9" i="21"/>
  <c r="L50" i="106"/>
  <c r="B15" i="93" s="1"/>
  <c r="M7" i="21"/>
  <c r="O7" i="21"/>
  <c r="M26" i="24" l="1"/>
  <c r="O11" i="7"/>
  <c r="N11" i="7"/>
  <c r="L11" i="7"/>
  <c r="I11" i="7"/>
  <c r="H11" i="7"/>
  <c r="M9" i="7"/>
  <c r="K9" i="7"/>
  <c r="I9" i="7"/>
  <c r="L55" i="104"/>
  <c r="H51" i="24"/>
  <c r="K44" i="24"/>
  <c r="I44" i="24"/>
  <c r="K43" i="24"/>
  <c r="M43" i="24"/>
  <c r="I43" i="24"/>
  <c r="K42" i="24"/>
  <c r="M42" i="24"/>
  <c r="I42" i="24"/>
  <c r="M38" i="24"/>
  <c r="M39" i="24"/>
  <c r="K39" i="24"/>
  <c r="I39" i="24"/>
  <c r="K38" i="24"/>
  <c r="I38" i="24"/>
  <c r="L38" i="24" s="1"/>
  <c r="M37" i="24"/>
  <c r="K37" i="24"/>
  <c r="I37" i="24"/>
  <c r="O37" i="24" s="1"/>
  <c r="K36" i="24"/>
  <c r="M36" i="24"/>
  <c r="I36" i="24"/>
  <c r="M35" i="24"/>
  <c r="K35" i="24"/>
  <c r="I35" i="24"/>
  <c r="O35" i="24" s="1"/>
  <c r="M34" i="24"/>
  <c r="K34" i="24"/>
  <c r="I34" i="24"/>
  <c r="O34" i="24" s="1"/>
  <c r="M12" i="12"/>
  <c r="M33" i="24"/>
  <c r="K33" i="24"/>
  <c r="I33" i="24"/>
  <c r="M32" i="24"/>
  <c r="K32" i="24"/>
  <c r="I32" i="24"/>
  <c r="K31" i="24"/>
  <c r="I31" i="24"/>
  <c r="O31" i="24" s="1"/>
  <c r="M30" i="24"/>
  <c r="K30" i="24"/>
  <c r="I30" i="24"/>
  <c r="O30" i="24" s="1"/>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M15" i="24"/>
  <c r="K15" i="24"/>
  <c r="I15" i="24"/>
  <c r="M10" i="24"/>
  <c r="K10" i="24"/>
  <c r="I10" i="24"/>
  <c r="K13" i="18"/>
  <c r="I13" i="18"/>
  <c r="O13" i="18" s="1"/>
  <c r="K12" i="18"/>
  <c r="K11" i="18"/>
  <c r="I12" i="18"/>
  <c r="O12" i="18" s="1"/>
  <c r="I11" i="18"/>
  <c r="O11" i="18" s="1"/>
  <c r="G22" i="18"/>
  <c r="M7" i="18"/>
  <c r="K7" i="18"/>
  <c r="I7" i="18"/>
  <c r="M8" i="7"/>
  <c r="K8" i="7"/>
  <c r="I8" i="7"/>
  <c r="M7" i="77" l="1"/>
  <c r="K7" i="77"/>
  <c r="I7" i="77"/>
  <c r="G17" i="77"/>
  <c r="K7" i="12"/>
  <c r="I7" i="12"/>
  <c r="K11" i="24"/>
  <c r="I11" i="24"/>
  <c r="K9" i="24"/>
  <c r="I9" i="24"/>
  <c r="O9" i="24" s="1"/>
  <c r="M7" i="24" l="1"/>
  <c r="K7" i="24"/>
  <c r="I7" i="24"/>
  <c r="O7" i="24" s="1"/>
  <c r="M8" i="21"/>
  <c r="K8" i="21"/>
  <c r="K7" i="21"/>
  <c r="I8" i="21"/>
  <c r="I7" i="21"/>
  <c r="M7" i="4"/>
  <c r="K7" i="4"/>
  <c r="I7" i="4"/>
  <c r="I8" i="5" l="1"/>
  <c r="G8" i="5"/>
  <c r="F8" i="5"/>
  <c r="E1" i="74"/>
  <c r="M2" i="14"/>
  <c r="B8" i="5"/>
  <c r="M13" i="12" l="1"/>
  <c r="K13" i="12"/>
  <c r="I13" i="12"/>
  <c r="K7" i="7"/>
  <c r="I7" i="7"/>
  <c r="M40" i="24"/>
  <c r="K40" i="24"/>
  <c r="I40" i="24"/>
  <c r="J9" i="106" l="1"/>
  <c r="T9" i="106" s="1"/>
  <c r="J8" i="106"/>
  <c r="T8" i="106" s="1"/>
  <c r="J65" i="106"/>
  <c r="M7" i="30"/>
  <c r="G21" i="19"/>
  <c r="L57" i="104"/>
  <c r="M9" i="19"/>
  <c r="K9" i="19"/>
  <c r="K7" i="30"/>
  <c r="I7" i="30"/>
  <c r="J70" i="106"/>
  <c r="T14" i="106" l="1"/>
  <c r="G25" i="5"/>
  <c r="C25" i="5"/>
  <c r="T40" i="107" l="1"/>
  <c r="M40" i="107"/>
  <c r="L40" i="107"/>
  <c r="J40" i="107"/>
  <c r="T36" i="107"/>
  <c r="M36" i="107"/>
  <c r="L36" i="107"/>
  <c r="J36" i="107"/>
  <c r="T32" i="107"/>
  <c r="M32" i="107"/>
  <c r="L32" i="107"/>
  <c r="J32" i="107"/>
  <c r="M11" i="107"/>
  <c r="L11" i="107"/>
  <c r="J11" i="107"/>
  <c r="G11" i="107"/>
  <c r="F11" i="107"/>
  <c r="M43" i="107" l="1"/>
  <c r="J43" i="107"/>
  <c r="T43" i="107"/>
  <c r="B4" i="93" l="1"/>
  <c r="J70" i="104"/>
  <c r="L23" i="105"/>
  <c r="B3" i="93"/>
  <c r="B5" i="93" l="1"/>
  <c r="T50" i="104"/>
  <c r="M52" i="106" l="1"/>
  <c r="J87" i="106"/>
  <c r="M82" i="106"/>
  <c r="T52" i="106" l="1"/>
  <c r="M50" i="106"/>
  <c r="T50" i="106" s="1"/>
  <c r="M57" i="106"/>
  <c r="T57" i="106" s="1"/>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T48" i="106" s="1"/>
  <c r="M72" i="106"/>
  <c r="T72" i="106" s="1"/>
  <c r="M73" i="106"/>
  <c r="T73" i="106" s="1"/>
  <c r="M71" i="106"/>
  <c r="T71" i="106" s="1"/>
  <c r="M70" i="106"/>
  <c r="T70" i="106" s="1"/>
  <c r="M69" i="106"/>
  <c r="T69" i="106" s="1"/>
  <c r="M68" i="106"/>
  <c r="T68" i="106" s="1"/>
  <c r="M67" i="106"/>
  <c r="T67" i="106" s="1"/>
  <c r="M66" i="106"/>
  <c r="M61" i="106"/>
  <c r="M83" i="106"/>
  <c r="M84" i="106"/>
  <c r="L87" i="106"/>
  <c r="M85" i="106"/>
  <c r="T66" i="106" l="1"/>
  <c r="G27" i="5"/>
  <c r="M77" i="106"/>
  <c r="T77" i="106" s="1"/>
  <c r="M49" i="106"/>
  <c r="M78" i="106"/>
  <c r="M54" i="106"/>
  <c r="T54" i="106" s="1"/>
  <c r="M80" i="106"/>
  <c r="M46" i="106"/>
  <c r="M75" i="106"/>
  <c r="T75" i="106" s="1"/>
  <c r="M74" i="106"/>
  <c r="T74" i="106" s="1"/>
  <c r="M53" i="106"/>
  <c r="T53" i="106" s="1"/>
  <c r="M34" i="106"/>
  <c r="T78" i="106" l="1"/>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L58" i="104"/>
  <c r="M87" i="106" l="1"/>
  <c r="H27" i="5"/>
  <c r="T76" i="106"/>
  <c r="T87" i="106" s="1"/>
  <c r="T57" i="104"/>
  <c r="H13" i="103" l="1"/>
  <c r="K13" i="103" l="1"/>
  <c r="G25" i="86" l="1"/>
  <c r="G21" i="14" l="1"/>
  <c r="H15" i="86" l="1"/>
  <c r="I15" i="86" l="1"/>
  <c r="H17" i="86" s="1"/>
  <c r="M18" i="104" l="1"/>
  <c r="T18" i="104" s="1"/>
  <c r="M14" i="104"/>
  <c r="T14" i="104" s="1"/>
  <c r="M6" i="104"/>
  <c r="T6" i="104" s="1"/>
  <c r="K52" i="104" l="1"/>
  <c r="K53" i="104"/>
  <c r="I10" i="30"/>
  <c r="J20" i="104"/>
  <c r="M20" i="104" s="1"/>
  <c r="T20" i="104" s="1"/>
  <c r="H25" i="12"/>
  <c r="G19" i="104"/>
  <c r="J19" i="104" s="1"/>
  <c r="M19" i="104" s="1"/>
  <c r="T19" i="104" s="1"/>
  <c r="O51"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1"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H12" i="14"/>
  <c r="M47" i="104" l="1"/>
  <c r="T62" i="104"/>
  <c r="T70" i="104" s="1"/>
  <c r="M62" i="104"/>
  <c r="M70" i="104" s="1"/>
  <c r="T10" i="105"/>
  <c r="T15" i="105" s="1"/>
  <c r="M35" i="105"/>
  <c r="T25" i="105"/>
  <c r="M25" i="105"/>
  <c r="M15" i="105"/>
  <c r="M11" i="106"/>
  <c r="L11" i="106"/>
  <c r="J11" i="106"/>
  <c r="M90" i="106" s="1"/>
  <c r="B27" i="5" l="1"/>
  <c r="C26" i="5"/>
  <c r="B26" i="5"/>
  <c r="M38" i="105"/>
  <c r="B27" i="93" s="1"/>
  <c r="T38" i="105"/>
  <c r="O15" i="86" l="1"/>
  <c r="N15" i="86"/>
  <c r="L15" i="86"/>
  <c r="H12" i="19"/>
  <c r="I25" i="12" l="1"/>
  <c r="E1" i="73" l="1"/>
  <c r="E1" i="44"/>
  <c r="Q12" i="14"/>
  <c r="E5" i="93" l="1"/>
  <c r="N51" i="24" l="1"/>
  <c r="L51" i="24"/>
  <c r="O10" i="22"/>
  <c r="N10" i="22"/>
  <c r="L10" i="22"/>
  <c r="I10" i="22"/>
  <c r="H10" i="22"/>
  <c r="H11" i="21"/>
  <c r="O12" i="19"/>
  <c r="N12" i="19"/>
  <c r="L12" i="19"/>
  <c r="I12" i="19"/>
  <c r="H10" i="75"/>
  <c r="O25" i="12"/>
  <c r="N25" i="12"/>
  <c r="L25" i="12"/>
  <c r="O10" i="73"/>
  <c r="N10" i="73"/>
  <c r="L10" i="73"/>
  <c r="I10" i="73"/>
  <c r="H10" i="73"/>
  <c r="O10" i="4"/>
  <c r="N10" i="4"/>
  <c r="L10" i="4"/>
  <c r="I10" i="4"/>
  <c r="H10" i="4"/>
  <c r="P12" i="14"/>
  <c r="N12" i="14"/>
  <c r="K12" i="14"/>
  <c r="J12" i="14"/>
  <c r="H10" i="30"/>
  <c r="P13" i="103" l="1"/>
  <c r="N13" i="103"/>
  <c r="J13" i="103" l="1"/>
  <c r="Q13" i="103"/>
  <c r="H15" i="103" l="1"/>
  <c r="G18" i="30" l="1"/>
  <c r="G18" i="78" l="1"/>
  <c r="G19" i="74"/>
  <c r="H10" i="74"/>
  <c r="G18" i="6"/>
  <c r="G18" i="4"/>
  <c r="G17" i="22" l="1"/>
  <c r="H12" i="22" l="1"/>
  <c r="H13"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4"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H16" i="14" s="1"/>
  <c r="G10" i="5"/>
  <c r="D8" i="5"/>
  <c r="N2" i="14" l="1"/>
  <c r="O2" i="14" s="1"/>
  <c r="C20" i="5"/>
  <c r="H18" i="5"/>
  <c r="M4" i="14"/>
  <c r="N4" i="14" s="1"/>
  <c r="O4" i="14" s="1"/>
  <c r="M3" i="14"/>
  <c r="N3" i="14" s="1"/>
  <c r="O3" i="14" s="1"/>
  <c r="B16" i="5"/>
  <c r="D20" i="5"/>
  <c r="F22" i="5"/>
  <c r="F29" i="5" s="1"/>
  <c r="E22" i="5"/>
  <c r="E29" i="5" s="1"/>
  <c r="D22" i="5"/>
  <c r="D29" i="5" s="1"/>
  <c r="F20" i="5"/>
  <c r="G20" i="5"/>
  <c r="E1" i="6"/>
  <c r="H14" i="6" s="1"/>
  <c r="C18" i="5"/>
  <c r="C22" i="5" s="1"/>
  <c r="E1" i="24"/>
  <c r="H55" i="24" s="1"/>
  <c r="E1" i="30"/>
  <c r="H14" i="30" s="1"/>
  <c r="E1" i="7"/>
  <c r="H15" i="7" s="1"/>
  <c r="E1" i="4"/>
  <c r="H14" i="4" s="1"/>
  <c r="H22" i="5" l="1"/>
  <c r="H29" i="5" s="1"/>
  <c r="C29" i="5"/>
  <c r="B18" i="5"/>
  <c r="G22" i="5" l="1"/>
  <c r="G29" i="5" s="1"/>
  <c r="B14" i="5" l="1"/>
  <c r="H14" i="74"/>
  <c r="I10" i="5" l="1"/>
  <c r="B10" i="5" s="1"/>
  <c r="H53" i="24" l="1"/>
  <c r="I12" i="5"/>
  <c r="B12" i="5" s="1"/>
  <c r="I22" i="5" l="1"/>
  <c r="I29" i="5" s="1"/>
  <c r="I20" i="5"/>
  <c r="B20" i="5" s="1"/>
  <c r="H16" i="19" l="1"/>
  <c r="E1" i="86" s="1"/>
  <c r="H19"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<sst xmlns="http://schemas.openxmlformats.org/spreadsheetml/2006/main" count="2464" uniqueCount="611">
  <si>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</si>
  <si>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</si>
  <si>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</si>
  <si>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</si>
  <si>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</si>
  <si>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</si>
  <si>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</si>
  <si>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</si>
  <si>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</si>
  <si>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</si>
  <si>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</si>
  <si>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</si>
  <si>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</si>
  <si>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</si>
  <si>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</si>
  <si>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</si>
  <si>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</si>
  <si>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</si>
  <si>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</si>
  <si>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</si>
  <si>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</si>
  <si>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</si>
  <si>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</si>
  <si>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</si>
  <si>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</si>
  <si>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</si>
  <si>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</si>
  <si>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</si>
  <si>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</si>
  <si>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</si>
  <si>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</si>
  <si>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</si>
  <si>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</si>
  <si>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</si>
  <si>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</si>
  <si>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</si>
  <si>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</si>
  <si>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</si>
  <si>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</si>
  <si>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</si>
  <si>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</si>
  <si>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</si>
  <si>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</si>
  <si>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</si>
  <si>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</si>
  <si>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</si>
  <si>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</si>
  <si>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</si>
  <si>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</si>
  <si>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</si>
  <si>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</si>
  <si>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</si>
  <si>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</si>
  <si>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</si>
  <si>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</si>
  <si>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</si>
  <si>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</si>
  <si>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</si>
  <si>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</si>
  <si>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</si>
  <si>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</si>
  <si>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</si>
  <si>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</si>
  <si>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</si>
  <si>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</si>
  <si>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</si>
  <si>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</si>
  <si>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</si>
  <si>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</si>
  <si>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</si>
  <si>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</si>
  <si>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</si>
  <si>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</si>
  <si>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</si>
  <si>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</si>
  <si>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</si>
  <si>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</si>
  <si>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</si>
  <si>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</si>
  <si>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</si>
  <si>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</si>
  <si>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</si>
  <si>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</si>
  <si>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</si>
  <si>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</si>
  <si>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</si>
  <si>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</si>
  <si>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</si>
  <si>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</si>
  <si>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</si>
  <si>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</si>
  <si>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</si>
  <si>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</si>
  <si>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</si>
  <si>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</si>
  <si>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</si>
  <si>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</si>
  <si>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</si>
  <si>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</si>
  <si>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</si>
  <si>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</si>
  <si>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</si>
  <si>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</si>
  <si>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</si>
  <si>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</si>
  <si>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</si>
  <si>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</si>
  <si>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</si>
  <si>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</si>
  <si>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</si>
  <si>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</si>
  <si>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</si>
  <si>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</si>
  <si>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</si>
  <si>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</si>
  <si>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</si>
  <si>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</si>
  <si>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</si>
  <si>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</si>
  <si>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</si>
  <si>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</si>
  <si>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</si>
  <si>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</si>
  <si>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</si>
  <si>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</si>
  <si>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</si>
  <si>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</si>
  <si>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</si>
  <si>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</si>
  <si>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</si>
  <si>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</si>
  <si>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</si>
  <si>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</si>
  <si>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</si>
  <si>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</si>
  <si>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</si>
  <si>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</si>
  <si>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</si>
  <si>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</si>
  <si>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</si>
  <si>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</si>
  <si>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</si>
  <si>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</si>
  <si>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</si>
  <si>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</si>
  <si>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</si>
  <si>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</si>
  <si>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</si>
  <si>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</si>
  <si>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</si>
  <si>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</si>
  <si>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</si>
  <si>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</si>
  <si>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</si>
  <si>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</si>
  <si>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</si>
  <si>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</si>
  <si>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</si>
  <si>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</si>
  <si>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</si>
  <si>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</si>
  <si>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</si>
  <si>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</si>
  <si>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</si>
  <si>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</si>
  <si>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</si>
  <si>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</si>
  <si>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</si>
  <si>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</si>
  <si>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</si>
  <si>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</si>
  <si>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</si>
  <si>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</si>
  <si>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</si>
  <si>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</si>
  <si>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</si>
  <si>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</si>
  <si>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</si>
  <si>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</si>
  <si>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</si>
  <si>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</si>
  <si>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</si>
  <si>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</si>
  <si>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</si>
  <si>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</si>
  <si>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</si>
  <si>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</si>
  <si>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</si>
  <si>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</si>
  <si>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</si>
  <si>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</si>
  <si>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</si>
  <si>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</si>
  <si>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</si>
  <si>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</si>
  <si>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</si>
  <si>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</si>
  <si>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</si>
  <si>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</si>
  <si>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</si>
  <si>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</si>
  <si>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</si>
  <si>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</si>
  <si>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</si>
  <si>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</si>
  <si>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</si>
  <si>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</si>
  <si>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</si>
  <si>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</si>
  <si>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</si>
  <si>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</si>
  <si>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</si>
  <si>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</si>
  <si>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</si>
  <si>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</si>
  <si>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</si>
  <si>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</si>
  <si>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</si>
  <si>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</si>
  <si>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</si>
  <si>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</si>
  <si>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</si>
  <si>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</si>
  <si>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</si>
  <si>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</si>
  <si>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</si>
  <si>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</si>
  <si>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</si>
  <si>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</si>
  <si>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</si>
  <si>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</si>
  <si>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</si>
  <si>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</si>
  <si>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</si>
  <si>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</si>
  <si>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</si>
  <si>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</si>
  <si>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</si>
  <si>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</si>
  <si>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</si>
  <si>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</si>
  <si>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</si>
  <si>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</si>
  <si>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</si>
  <si>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</si>
  <si>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</si>
  <si>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</si>
  <si>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</si>
  <si>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</si>
  <si>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</si>
  <si>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</si>
  <si>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</si>
  <si>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</si>
  <si>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</si>
  <si>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</si>
  <si>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</si>
  <si>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</si>
  <si>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</si>
  <si>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</si>
  <si>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</si>
  <si>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</si>
  <si>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</si>
  <si>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</si>
  <si>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</si>
  <si>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</si>
  <si>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</si>
  <si>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</si>
  <si>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</si>
  <si>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</si>
  <si>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</si>
  <si>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</si>
  <si>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</si>
  <si>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</si>
  <si>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</si>
  <si>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</si>
  <si>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</si>
  <si>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</si>
  <si>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</si>
  <si>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</si>
  <si>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</si>
  <si>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</si>
  <si>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</si>
  <si>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</si>
  <si>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</si>
  <si>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</si>
  <si>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</si>
  <si>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</si>
  <si>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</si>
  <si>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</si>
  <si>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</si>
  <si>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</si>
  <si>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</si>
  <si>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</si>
  <si>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</si>
  <si>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</si>
  <si>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Against 2022 &amp; 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</si>
  <si>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</si>
  <si>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</si>
  <si>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</si>
  <si>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</si>
  <si>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</si>
  <si>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</si>
  <si>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</si>
  <si>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</si>
  <si>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</si>
  <si>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</si>
  <si>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</si>
  <si>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</si>
  <si>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</si>
  <si>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</si>
  <si>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</si>
  <si>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</si>
  <si>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</si>
  <si>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</si>
  <si>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</si>
  <si>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</si>
  <si>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</si>
  <si>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</si>
  <si>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</si>
  <si>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</si>
  <si>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</si>
  <si>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</si>
  <si>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</si>
  <si>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</si>
  <si>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</si>
  <si>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</si>
  <si>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</si>
  <si>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</si>
  <si>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Lakeway Apartments</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</si>
  <si>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</si>
  <si>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</si>
  <si>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</si>
  <si>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</si>
  <si>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</si>
  <si>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</si>
  <si>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</si>
  <si>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</si>
  <si>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</si>
  <si>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</si>
  <si>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</si>
  <si>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</si>
  <si>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</si>
  <si>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</si>
  <si>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</si>
  <si>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</si>
  <si>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</si>
  <si>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</si>
  <si>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</si>
  <si>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</si>
  <si>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</si>
  <si>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</si>
  <si>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</si>
  <si>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</si>
  <si>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</si>
  <si>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</si>
  <si>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</si>
  <si>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</si>
  <si>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</si>
  <si>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</si>
  <si>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</si>
  <si>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</si>
  <si>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</si>
  <si>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</si>
  <si>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</si>
  <si>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</si>
  <si>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</si>
  <si>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</si>
  <si>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</si>
  <si>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</si>
  <si>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</si>
  <si>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</si>
  <si>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</si>
  <si>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</si>
  <si>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</si>
  <si>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</si>
  <si>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</si>
  <si>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</si>
  <si>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</si>
  <si>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</si>
  <si>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</si>
  <si>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</si>
  <si>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</si>
  <si>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</si>
  <si>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</si>
  <si>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</si>
  <si>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</si>
  <si>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</si>
  <si>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</si>
  <si>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</si>
  <si>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</si>
  <si>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</si>
  <si>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</si>
  <si>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</si>
  <si>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</si>
  <si>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</si>
  <si>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</si>
  <si>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</si>
  <si>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</si>
  <si>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</si>
  <si>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</si>
  <si>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</si>
  <si>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</si>
  <si>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</si>
  <si>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</si>
  <si>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Manchester Apartments (AKA Austin Manor)</t>
  </si>
  <si>
    <t>5455; $8,000,000 &amp; 5456; $8,500,000</t>
  </si>
  <si>
    <t>Against 2023 &amp; 2024 CF</t>
  </si>
  <si>
    <t>TDHCA (Assigned by East Texas HFC)</t>
  </si>
  <si>
    <t>TDHCA (Assigned by Northeast Texas HFC)</t>
  </si>
  <si>
    <t>TDHCA (Assigned by Southeast Texas HFC)</t>
  </si>
  <si>
    <t>Pathways at Santa Rita Courts East</t>
  </si>
  <si>
    <t>TDHCA (Assigned by Houston HFC)</t>
  </si>
  <si>
    <t>Includes $8,500,000 of CF from 2024</t>
  </si>
  <si>
    <t>Includes $8,000,000 of CF from 2024</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</si>
  <si>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</si>
  <si>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</si>
  <si>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</si>
  <si>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</si>
  <si>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</si>
  <si>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</si>
  <si>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</si>
  <si>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</si>
  <si>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</si>
  <si>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</si>
  <si>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</si>
  <si>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</si>
  <si>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</si>
  <si>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</si>
  <si>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</si>
  <si>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</si>
  <si>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City of Dallas HFC</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</si>
  <si>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</si>
  <si>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</si>
  <si>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</si>
  <si>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</si>
  <si>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</si>
  <si>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</si>
  <si>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</si>
  <si>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</si>
  <si>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</si>
  <si>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</si>
  <si>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</si>
  <si>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</si>
  <si>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</si>
  <si>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</si>
  <si>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</si>
  <si>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</si>
  <si>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</si>
  <si>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</si>
  <si>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</si>
  <si>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</si>
  <si>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</si>
  <si>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</si>
  <si>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</si>
  <si>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</si>
  <si>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</si>
  <si>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</si>
  <si>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</si>
  <si>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</si>
  <si>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</si>
  <si>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</si>
  <si>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</si>
  <si>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</si>
  <si>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</si>
  <si>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</si>
  <si>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</si>
  <si>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</si>
  <si>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</si>
  <si>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</si>
  <si>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</si>
  <si>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</si>
  <si>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</si>
  <si>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</si>
  <si>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</si>
  <si>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</si>
  <si>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</si>
  <si>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</si>
  <si>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</si>
  <si>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</si>
  <si>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</si>
  <si>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</si>
  <si>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</si>
  <si>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</si>
  <si>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</si>
  <si>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</si>
  <si>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</si>
  <si>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</si>
  <si>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</si>
  <si>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</si>
  <si>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</si>
  <si>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</si>
  <si>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</si>
  <si>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</si>
  <si>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</si>
  <si>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</si>
  <si>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</si>
  <si>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</si>
  <si>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</si>
  <si>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</si>
  <si>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</si>
  <si>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</si>
  <si>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</si>
  <si>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The Aere at Easton Park</t>
  </si>
  <si>
    <t>26-065</t>
  </si>
  <si>
    <t>RESERVED</t>
  </si>
  <si>
    <t>5458; $16,500,000</t>
  </si>
  <si>
    <t>2025CF (5458)</t>
  </si>
  <si>
    <t>5459; $45,000,000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</si>
  <si>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</si>
  <si>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</si>
  <si>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</si>
  <si>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</si>
  <si>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</si>
  <si>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</si>
  <si>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</si>
  <si>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5460; $13,500,000</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</si>
  <si>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</si>
  <si>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</si>
  <si>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</si>
  <si>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</si>
  <si>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</si>
  <si>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</si>
  <si>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</si>
  <si>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</si>
  <si>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</si>
  <si>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</si>
  <si>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</si>
  <si>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</si>
  <si>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</si>
  <si>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</si>
  <si>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</si>
  <si>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</si>
  <si>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</si>
  <si>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</si>
  <si>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</si>
  <si>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</si>
  <si>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</si>
  <si>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</si>
  <si>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</si>
  <si>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</si>
  <si>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</si>
  <si>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</si>
  <si>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</si>
  <si>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</si>
  <si>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</si>
  <si>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</si>
  <si>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</si>
  <si>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</si>
  <si>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</si>
  <si>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</si>
  <si>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</si>
  <si>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</si>
  <si>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</si>
  <si>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</si>
  <si>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</si>
  <si>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</si>
  <si>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</si>
  <si>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</si>
  <si>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</si>
  <si>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</si>
  <si>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2025CF (5413)</t>
  </si>
  <si>
    <t>5505; $6,000,000</t>
  </si>
  <si>
    <t>5505; $5,000,000</t>
  </si>
  <si>
    <t>5505; $30,450,000</t>
  </si>
  <si>
    <t>2024CF (5246) &amp; 2025CF (5425/5426/5427)</t>
  </si>
  <si>
    <t>Pleasant Hill Village</t>
  </si>
  <si>
    <t>Brittons Place</t>
  </si>
  <si>
    <t>5506; $22,000,000</t>
  </si>
  <si>
    <t>2025CF (5438)</t>
  </si>
  <si>
    <t>Excludes $250,000,000 of CF from 2023 &amp; 2024</t>
  </si>
  <si>
    <t>5453; $162,701,150.67 &amp; 5452; $233,259,100</t>
  </si>
  <si>
    <t>**Tax Credit Email- 2/12/2026- withdrawn 2/18/2026</t>
  </si>
  <si>
    <t>The Jefferson County HFC</t>
  </si>
  <si>
    <t>Timbers Edge Apartments</t>
  </si>
  <si>
    <t>5507; $20,000,000</t>
  </si>
  <si>
    <t>5508; $20,000,000</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</si>
  <si>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</si>
  <si>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</si>
  <si>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</si>
  <si>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</si>
  <si>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</si>
  <si>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</si>
  <si>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</si>
  <si>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</si>
  <si>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</si>
  <si>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</si>
  <si>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</si>
  <si>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</si>
  <si>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</si>
  <si>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</si>
  <si>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</si>
  <si>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5477; $30,000,000</t>
  </si>
  <si>
    <t>5512; $6,400,000</t>
  </si>
  <si>
    <t>5512; $62,752,737</t>
  </si>
  <si>
    <t>Excludes $30,000,000 of CF from 2024</t>
  </si>
  <si>
    <t>5471; $6,000,000 &amp; 5505; $6,550,000</t>
  </si>
  <si>
    <t>5461; $5,000,000</t>
  </si>
  <si>
    <t>Excludes $60,000,000 of CF from 2024</t>
  </si>
  <si>
    <t>5445; $47,500,000</t>
  </si>
  <si>
    <t>5468; $20,000,000</t>
  </si>
  <si>
    <t>**Tax Credit Email- 3/2/2026- withdrawn 3/5/2026</t>
  </si>
  <si>
    <t>Mount Pleasant EDC</t>
  </si>
  <si>
    <t>Aluminz Mount Pleasant</t>
  </si>
  <si>
    <t>Mt Pleasant</t>
  </si>
  <si>
    <t>Waters at Stone Creek</t>
  </si>
  <si>
    <t>5520; $30,000,000</t>
  </si>
  <si>
    <t>North Central Texas HFC</t>
  </si>
  <si>
    <t>5504; $27,205,000</t>
  </si>
  <si>
    <t>Excludes $33,000,000 of CF from 2024</t>
  </si>
  <si>
    <t>5451; $33,000,000 &amp; 5511; $3,000,000</t>
  </si>
  <si>
    <t>5459; $4,000,000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</si>
</sst>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50">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right"/>
    </xf>
    <xf numFmtId="0" fontId="31" fillId="0" borderId="0" xfId="0" applyFont="1" applyAlignment="1">
      <alignment horizontal="left"/>
    </xf>
    <xf numFmtId="164" fontId="31" fillId="0" borderId="0" xfId="8" applyNumberFormat="1" applyFont="1" applyFill="1" applyBorder="1" applyAlignment="1">
      <alignment horizontal="center"/>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44" fontId="22" fillId="0" borderId="0" xfId="8" applyNumberFormat="1" applyFont="1" applyFill="1" applyBorder="1" applyAlignment="1">
      <alignment horizontal="center"/>
    </xf>
    <xf numFmtId="14" fontId="21" fillId="0" borderId="0" xfId="0" applyNumberFormat="1" applyFont="1"/>
    <xf numFmtId="164" fontId="5" fillId="3" borderId="0" xfId="8" applyNumberFormat="1" applyFont="1" applyFill="1" applyBorder="1" applyAlignment="1">
      <alignment horizontal="left"/>
    </xf>
    <xf numFmtId="164" fontId="5" fillId="0" borderId="11" xfId="8" applyNumberFormat="1" applyFont="1" applyFill="1" applyBorder="1" applyAlignment="1">
      <alignment horizontal="left"/>
    </xf>
    <xf numFmtId="14" fontId="5" fillId="3" borderId="11" xfId="0" applyNumberFormat="1" applyFont="1" applyFill="1" applyBorder="1" applyAlignment="1">
      <alignment horizontal="left"/>
    </xf>
    <xf numFmtId="14" fontId="5" fillId="3" borderId="16" xfId="0" applyNumberFormat="1" applyFont="1" applyFill="1" applyBorder="1" applyAlignment="1">
      <alignment horizontal="left"/>
    </xf>
    <xf numFmtId="166" fontId="4" fillId="2" borderId="25" xfId="0" applyNumberFormat="1" applyFont="1" applyFill="1" applyBorder="1" applyAlignment="1">
      <alignment horizontal="center"/>
    </xf>
    <xf numFmtId="0" fontId="22" fillId="0" borderId="0" xfId="0" applyFont="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5" fontId="22" fillId="0" borderId="11" xfId="0" applyNumberFormat="1" applyFont="1" applyBorder="1" applyAlignment="1">
      <alignment horizontal="center"/>
    </xf>
    <xf numFmtId="42" fontId="22" fillId="0" borderId="11" xfId="8" applyNumberFormat="1" applyFont="1" applyFill="1" applyBorder="1" applyAlignment="1">
      <alignment horizontal="center"/>
    </xf>
    <xf numFmtId="164" fontId="22" fillId="0" borderId="11" xfId="8" applyNumberFormat="1" applyFont="1" applyFill="1" applyBorder="1" applyAlignment="1">
      <alignment horizontal="center"/>
    </xf>
    <xf numFmtId="14" fontId="22" fillId="0" borderId="11" xfId="0" applyNumberFormat="1" applyFont="1" applyBorder="1" applyAlignment="1">
      <alignment horizontal="center"/>
    </xf>
    <xf numFmtId="14" fontId="22" fillId="0" borderId="11" xfId="0" applyNumberFormat="1" applyFont="1" applyBorder="1" applyAlignment="1">
      <alignment horizontal="left"/>
    </xf>
    <xf numFmtId="42" fontId="4" fillId="0" borderId="11" xfId="8" applyNumberFormat="1" applyFont="1" applyFill="1" applyBorder="1" applyAlignment="1">
      <alignment horizontal="center"/>
    </xf>
    <xf numFmtId="44" fontId="4" fillId="0" borderId="11" xfId="8" applyNumberFormat="1" applyFont="1" applyFill="1" applyBorder="1" applyAlignment="1">
      <alignment horizontal="center"/>
    </xf>
    <xf numFmtId="14" fontId="4" fillId="0" borderId="11" xfId="0" applyNumberFormat="1" applyFont="1" applyBorder="1" applyAlignment="1">
      <alignment horizontal="left"/>
    </xf>
    <xf numFmtId="0" fontId="21" fillId="0" borderId="11" xfId="0" applyFont="1" applyBorder="1" applyAlignment="1">
      <alignment horizontal="lef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414</v>
      </c>
      <c r="B3" s="13"/>
      <c r="C3" s="7">
        <v>44652</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415</v>
      </c>
      <c r="B8" s="505">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2959786260</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2676492312</v>
      </c>
      <c r="C10" s="63">
        <f>'SC1 MRB'!$J$12</f>
        <v>0</v>
      </c>
      <c r="D10" s="63">
        <f>+'SC2 State Voted'!H10</f>
        <v>100000000</v>
      </c>
      <c r="E10" s="63">
        <f>+'SC3 Small Issue IDBs'!H10</f>
        <v>0</v>
      </c>
      <c r="F10" s="63">
        <f>'SC4 TSAHC'!H10</f>
        <v>16500000</v>
      </c>
      <c r="G10" s="63">
        <f>+'SC4 MF- TDHCA'!H11</f>
        <v>59000000</v>
      </c>
      <c r="H10" s="305">
        <f>'REGION 1'!H10+'REGION 2'!H10+'REGION 3'!H25+'REGION 4'!H10+'REGION 5'!H10+'REGION 6'!H15+'REGION 7'!H12+'REGION 8'!H10+'REGION 9'!H11+'REGION 10'!H10+'REGION 11'!H10+'REGION 12'!H10+'REGION 13'!H10+'SC4 MF- Local Collapse'!H15</f>
        <v>906274039</v>
      </c>
      <c r="I10" s="304">
        <f>'SC5 OTHER'!$H$51</f>
        <v>1594718273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2676492312</v>
      </c>
      <c r="C12" s="63">
        <f>'SC1 MRB'!$K$12</f>
        <v>0</v>
      </c>
      <c r="D12" s="63">
        <f>+'SC2 State Voted'!I10</f>
        <v>100000000</v>
      </c>
      <c r="E12" s="63">
        <f>+'SC3 Small Issue IDBs'!I10</f>
        <v>0</v>
      </c>
      <c r="F12" s="63">
        <f>'SC4 TSAHC'!I10</f>
        <v>16500000</v>
      </c>
      <c r="G12" s="63">
        <f>'SC4 MF- TDHCA'!I11</f>
        <v>59000000</v>
      </c>
      <c r="H12" s="63">
        <f>'REGION 1'!I10+'REGION 2'!I10+'REGION 3'!I25+'REGION 4'!I10+'REGION 5'!I10+'REGION 6'!I15+'REGION 7'!I12+'REGION 8'!I10+'REGION 9'!I11+'REGION 10'!I10+'REGION 11'!I10+'REGION 12'!I10+'REGION 13'!I10+'SC4 MF- Local Collapse'!I15</f>
        <v>906274039</v>
      </c>
      <c r="I12" s="304">
        <f>'SC5 OTHER'!$I$51</f>
        <v>1594718273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1673384234</v>
      </c>
      <c r="C14" s="63">
        <f>'SC1 MRB'!N12</f>
        <v>0</v>
      </c>
      <c r="D14" s="63">
        <f>'SC2 State Voted'!L10</f>
        <v>0</v>
      </c>
      <c r="E14" s="63">
        <f>'SC3 Small Issue IDBs'!L10</f>
        <v>0</v>
      </c>
      <c r="F14" s="63">
        <f>'SC4 TSAHC'!L10</f>
        <v>16500000</v>
      </c>
      <c r="G14" s="63">
        <f>'SC4 MF- TDHCA'!L11</f>
        <v>59000000</v>
      </c>
      <c r="H14" s="63">
        <f>'REGION 1'!L10+'REGION 2'!L10+'REGION 3'!L25+'REGION 4'!L10+'REGION 5'!L10+'REGION 6'!L15+'REGION 7'!L12+'REGION 8'!L10+'REGION 9'!L11+'REGION 10'!L10+'REGION 11'!L10+'REGION 12'!L10+'REGION 13'!L10+'SC4 MF- Local Collapse'!L15</f>
        <v>607514039</v>
      </c>
      <c r="I14" s="304">
        <f>'SC5 OTHER'!L51</f>
        <v>990370195</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0</v>
      </c>
      <c r="C16" s="63">
        <f>'SC1 MRB'!$P$12</f>
        <v>0</v>
      </c>
      <c r="D16" s="63">
        <f>+'SC2 State Voted'!N10</f>
        <v>0</v>
      </c>
      <c r="E16" s="63">
        <f>+'SC3 Small Issue IDBs'!N10</f>
        <v>0</v>
      </c>
      <c r="F16" s="63">
        <f>'SC4 TSAHC'!N10</f>
        <v>0</v>
      </c>
      <c r="G16" s="63">
        <f>+'SC4 MF- TDHCA'!N11</f>
        <v>0</v>
      </c>
      <c r="H16" s="63">
        <f>'REGION 1'!N10+'REGION 2'!N10+'REGION 3'!N25+'REGION 4'!N10+'REGION 5'!N10+'REGION 6'!N15+'REGION 7'!N12+'REGION 8'!N10+'REGION 9'!N11+'REGION 10'!N10+'REGION 11'!N10+'REGION 12'!N10+'REGION 13'!N10+'SC4 MF- Local Collapse'!N15</f>
        <v>0</v>
      </c>
      <c r="I16" s="304">
        <f>'SC5 OTHER'!N51</f>
        <v>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837300000</v>
      </c>
      <c r="C18" s="63">
        <f>'SC1 MRB'!$Q$12</f>
        <v>0</v>
      </c>
      <c r="D18" s="63">
        <f>+'SC2 State Voted'!O10</f>
        <v>100000000</v>
      </c>
      <c r="E18" s="63">
        <f>+'SC3 Small Issue IDBs'!O10</f>
        <v>0</v>
      </c>
      <c r="F18" s="63">
        <f>'SC4 TSAHC'!O10</f>
        <v>0</v>
      </c>
      <c r="G18" s="63">
        <f>+'SC4 MF- TDHCA'!O11</f>
        <v>5000000</v>
      </c>
      <c r="H18" s="63">
        <f>'REGION 1'!O10+'REGION 2'!O10+'REGION 3'!O25+'REGION 4'!O10+'REGION 5'!O10+'REGION 6'!O15+'REGION 7'!O12+'REGION 8'!O10+'REGION 9'!O11+'REGION 10'!O10+'REGION 11'!O10+'REGION 12'!O10+'REGION 13'!O10+'SC4 MF- Local Collapse'!O15</f>
        <v>231500000</v>
      </c>
      <c r="I18" s="304">
        <f>'SC5 OTHER'!O51</f>
        <v>500800000</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586</v>
      </c>
      <c r="B22" s="442">
        <f>'Aug 15'!H17</f>
        <v>2959786260</v>
      </c>
      <c r="C22" s="84">
        <f>+C8-C12+C18+'SC1 MRB'!G21</f>
        <v>1380566332</v>
      </c>
      <c r="D22" s="84">
        <f>+D8-D12+D18+'SC2 State Voted'!G18</f>
        <v>428082584</v>
      </c>
      <c r="E22" s="84">
        <f>+E8-E12+E18+'SC3 Small Issue IDBs'!G18</f>
        <v>85616516</v>
      </c>
      <c r="F22" s="84">
        <f>+F8-F12+F18+'SC4 TSAHC'!G18</f>
        <v>112371679</v>
      </c>
      <c r="G22" s="84">
        <f>+G8-G12+G18+'SC4 MF- TDHCA'!G26</f>
        <v>224743357</v>
      </c>
      <c r="H22" s="84">
        <f>H8-H12+H18+SUM('REGION 1'!G19+'REGION 2'!G17+'REGION 3'!G36+'REGION 4'!G17+'REGION 5'!G19+'REGION 6'!G22+'REGION 7'!G21+'REGION 8'!G18+'REGION 9'!G18+'REGION 10'!G17+'REGION 11'!G17+'REGION 12'!G17+'REGION 13'!G17+'SC4 MF- Local Collapse'!G25)</f>
        <v>371827707</v>
      </c>
      <c r="I22" s="306">
        <f>+I8-I12+I18+'SC5 OTHER'!G67</f>
        <v>356578085</v>
      </c>
      <c r="J22" s="323">
        <f>J8-J12+J18+'Aug 15'!G28</f>
        <v>2959786260</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296</v>
      </c>
      <c r="B25" s="492">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343</v>
      </c>
      <c r="B26" s="492">
        <f>SUM(C26:I26)</f>
        <v>917247898.33000004</v>
      </c>
      <c r="C26" s="63">
        <f>'2024 CF'!M47</f>
        <v>367635145.46000004</v>
      </c>
      <c r="D26" s="63">
        <v>0</v>
      </c>
      <c r="E26" s="63">
        <v>0</v>
      </c>
      <c r="F26" s="63">
        <v>0</v>
      </c>
      <c r="G26" s="63">
        <f>'2024 CF'!M6+'2024 CF'!M55</f>
        <v>20000000</v>
      </c>
      <c r="H26" s="63">
        <f>'2024 CF'!M9+'2024 CF'!M11+'2024 CF'!M12+'2024 CF'!M52+'2024 CF'!M53+'2024 CF'!M54+'2024 CF'!M56+'2024 CF'!M57+'2024 CF'!M58+'2024 CF'!M59</f>
        <v>232870030</v>
      </c>
      <c r="I26" s="304">
        <f>'2024 CF'!M10+'2024 CF'!M13+'2024 CF'!M14+SUM('2024 CF'!M17:M20)+'2024 CF'!M50+'2024 CF'!M51+'2024 CF'!M60+'2024 CF'!M65</f>
        <v>296742722.87</v>
      </c>
    </row>
    <row r="27" spans="1:18">
      <c r="A27" s="13" t="s">
        <v>419</v>
      </c>
      <c r="B27" s="492">
        <f>SUM(C27:I27)</f>
        <v>2226523964.25</v>
      </c>
      <c r="C27" s="63">
        <f>'2025 CF'!M43</f>
        <v>1731328753.25</v>
      </c>
      <c r="D27" s="63">
        <v>0</v>
      </c>
      <c r="E27" s="63">
        <v>0</v>
      </c>
      <c r="F27" s="63">
        <f>'2025 CF'!M55</f>
        <v>0</v>
      </c>
      <c r="G27" s="63">
        <f>SUM('2025 CF'!M66:M73)</f>
        <v>165500000</v>
      </c>
      <c r="H27" s="63">
        <f>'2025 CF'!M51+'2025 CF'!M52+'2025 CF'!M53+'2025 CF'!M54+'2025 CF'!M60+'2025 CF'!M61+'2025 CF'!M62+'2025 CF'!M63+'2025 CF'!M64+SUM('2025 CF'!M76:M80)+SUM('2025 CF'!M83:M85)+'2025 CF'!J8</f>
        <v>218412737</v>
      </c>
      <c r="I27" s="304">
        <f>SUM('2025 CF'!M46:M50)+SUM('2025 CF'!M56:M59)+'2025 CF'!M65+SUM('2025 CF'!M74:M75)+'2025 CF'!M81+'2025 CF'!M82+'2025 CF'!J9</f>
        <v>111282474</v>
      </c>
    </row>
    <row r="28" spans="1:18">
      <c r="B28" s="403"/>
      <c r="C28" s="63"/>
      <c r="D28" s="63"/>
      <c r="E28" s="63"/>
      <c r="F28" s="63"/>
      <c r="G28" s="63"/>
      <c r="H28" s="63"/>
      <c r="I28" s="304"/>
      <c r="K28" s="49"/>
    </row>
    <row r="29" spans="1:18" ht="12" customHeight="1">
      <c r="B29" s="404">
        <f>SUM(B22:B28)</f>
        <v>6430044325.3799992</v>
      </c>
      <c r="C29" s="405">
        <f>SUM(C22:C28)</f>
        <v>3479530230.71</v>
      </c>
      <c r="D29" s="406">
        <f t="shared" ref="D29:H29" si="2">SUM(D22:D28)</f>
        <v>428082584</v>
      </c>
      <c r="E29" s="406">
        <f t="shared" si="2"/>
        <v>85616516</v>
      </c>
      <c r="F29" s="406">
        <f t="shared" si="2"/>
        <v>112371679</v>
      </c>
      <c r="G29" s="406">
        <f t="shared" si="2"/>
        <v>439243357</v>
      </c>
      <c r="H29" s="406">
        <f t="shared" si="2"/>
        <v>903110474</v>
      </c>
      <c r="I29" s="407">
        <f>SUM(I22:I28)</f>
        <v>982089484.66999972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5"/>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9"/>
      <c r="C43" s="99"/>
      <c r="D43" s="78"/>
      <c r="E43" s="13"/>
      <c r="F43" s="11"/>
    </row>
    <row r="44" spans="1:16">
      <c r="B44" s="469"/>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9"/>
      <c r="I7" s="286"/>
      <c r="J7" s="11"/>
      <c r="K7" s="11"/>
      <c r="L7" s="286"/>
      <c r="N7" s="286"/>
      <c r="O7" s="286"/>
      <c r="P7" s="11"/>
      <c r="R7" s="11"/>
    </row>
    <row r="8" spans="1:22">
      <c r="F8" s="36"/>
      <c r="G8" s="36"/>
      <c r="H8" s="409"/>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topLeftCell="A4"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504</v>
      </c>
      <c r="E7" s="5" t="s">
        <v>430</v>
      </c>
      <c r="F7" s="26" t="s">
        <v>346</v>
      </c>
      <c r="G7" s="26" t="s">
        <v>78</v>
      </c>
      <c r="H7" s="344">
        <v>40000000</v>
      </c>
      <c r="I7" s="341">
        <f>H7</f>
        <v>40000000</v>
      </c>
      <c r="J7" s="6">
        <v>44595</v>
      </c>
      <c r="K7" s="6">
        <f>J7+35</f>
        <v>44630</v>
      </c>
      <c r="L7" s="341">
        <v>40000000</v>
      </c>
      <c r="M7" s="6">
        <f>J7+180</f>
        <v>44775</v>
      </c>
      <c r="N7" s="341"/>
      <c r="O7" s="341"/>
      <c r="P7" s="6"/>
      <c r="Q7" s="5" t="s">
        <v>247</v>
      </c>
      <c r="R7" s="502" t="s">
        <v>531</v>
      </c>
      <c r="S7" s="371" t="s">
        <v>534</v>
      </c>
    </row>
    <row r="8" spans="1:22">
      <c r="A8" s="13">
        <v>14</v>
      </c>
      <c r="B8" s="13">
        <v>19</v>
      </c>
      <c r="C8" s="13" t="s">
        <v>424</v>
      </c>
      <c r="D8" s="13" t="s">
        <v>315</v>
      </c>
      <c r="E8" s="13" t="s">
        <v>97</v>
      </c>
      <c r="F8" s="36" t="s">
        <v>431</v>
      </c>
      <c r="G8" s="36" t="s">
        <v>95</v>
      </c>
      <c r="H8" s="409">
        <v>0</v>
      </c>
      <c r="I8" s="286"/>
      <c r="J8" s="11"/>
      <c r="K8" s="11"/>
      <c r="L8" s="286"/>
      <c r="N8" s="286"/>
      <c r="O8" s="286"/>
      <c r="P8" s="11"/>
      <c r="Q8" s="13" t="s">
        <v>247</v>
      </c>
      <c r="R8" s="92" t="s">
        <v>529</v>
      </c>
    </row>
    <row r="9" spans="1:22">
      <c r="A9" s="13">
        <v>15</v>
      </c>
      <c r="B9" s="13">
        <v>20</v>
      </c>
      <c r="C9" s="13" t="s">
        <v>425</v>
      </c>
      <c r="D9" s="13" t="s">
        <v>315</v>
      </c>
      <c r="E9" s="13" t="s">
        <v>167</v>
      </c>
      <c r="F9" s="36" t="s">
        <v>432</v>
      </c>
      <c r="G9" s="36" t="s">
        <v>168</v>
      </c>
      <c r="H9" s="409">
        <v>0</v>
      </c>
      <c r="I9" s="286"/>
      <c r="J9" s="11"/>
      <c r="K9" s="11"/>
      <c r="L9" s="286"/>
      <c r="N9" s="286"/>
      <c r="O9" s="286"/>
      <c r="P9" s="11"/>
      <c r="Q9" s="13" t="s">
        <v>247</v>
      </c>
      <c r="R9" s="92" t="s">
        <v>543</v>
      </c>
    </row>
    <row r="10" spans="1:22" s="5" customFormat="1" ht="11.4">
      <c r="A10" s="5">
        <v>16</v>
      </c>
      <c r="B10" s="5">
        <v>21</v>
      </c>
      <c r="C10" s="5">
        <v>5478</v>
      </c>
      <c r="D10" s="5" t="s">
        <v>504</v>
      </c>
      <c r="E10" s="5" t="s">
        <v>97</v>
      </c>
      <c r="F10" s="26" t="s">
        <v>385</v>
      </c>
      <c r="G10" s="26" t="s">
        <v>95</v>
      </c>
      <c r="H10" s="344">
        <v>31000000</v>
      </c>
      <c r="I10" s="341">
        <f>H10</f>
        <v>31000000</v>
      </c>
      <c r="J10" s="6">
        <v>44596</v>
      </c>
      <c r="K10" s="6">
        <f>J10+35</f>
        <v>44631</v>
      </c>
      <c r="L10" s="341">
        <v>31000000</v>
      </c>
      <c r="M10" s="6">
        <f>J10+180</f>
        <v>44776</v>
      </c>
      <c r="N10" s="341"/>
      <c r="O10" s="341"/>
      <c r="P10" s="6"/>
      <c r="Q10" s="5" t="s">
        <v>247</v>
      </c>
      <c r="R10" s="502" t="s">
        <v>547</v>
      </c>
    </row>
    <row r="11" spans="1:22" s="5" customFormat="1" ht="11.4">
      <c r="A11" s="5">
        <v>19</v>
      </c>
      <c r="B11" s="5">
        <v>25</v>
      </c>
      <c r="C11" s="5">
        <v>5484</v>
      </c>
      <c r="D11" s="5" t="s">
        <v>504</v>
      </c>
      <c r="E11" s="5" t="s">
        <v>401</v>
      </c>
      <c r="F11" s="26" t="s">
        <v>433</v>
      </c>
      <c r="G11" s="26" t="s">
        <v>397</v>
      </c>
      <c r="H11" s="344">
        <v>72774039</v>
      </c>
      <c r="I11" s="341">
        <f>H11</f>
        <v>72774039</v>
      </c>
      <c r="J11" s="6">
        <v>44597</v>
      </c>
      <c r="K11" s="6">
        <f>J11+35</f>
        <v>44632</v>
      </c>
      <c r="L11" s="341">
        <f>I11</f>
        <v>72774039</v>
      </c>
      <c r="M11" s="6">
        <f>J11+180</f>
        <v>44777</v>
      </c>
      <c r="N11" s="341"/>
      <c r="O11" s="341"/>
      <c r="P11" s="6"/>
      <c r="Q11" s="5" t="s">
        <v>247</v>
      </c>
      <c r="R11" s="502" t="s">
        <v>549</v>
      </c>
    </row>
    <row r="12" spans="1:22" s="5" customFormat="1" ht="11.4">
      <c r="A12" s="5">
        <v>20</v>
      </c>
      <c r="B12" s="5">
        <v>26</v>
      </c>
      <c r="C12" s="5">
        <v>5490</v>
      </c>
      <c r="D12" s="5" t="s">
        <v>504</v>
      </c>
      <c r="E12" s="5" t="s">
        <v>163</v>
      </c>
      <c r="F12" s="26" t="s">
        <v>434</v>
      </c>
      <c r="G12" s="26" t="s">
        <v>164</v>
      </c>
      <c r="H12" s="344">
        <v>55000000</v>
      </c>
      <c r="I12" s="341">
        <f>H12</f>
        <v>55000000</v>
      </c>
      <c r="J12" s="6">
        <v>44601</v>
      </c>
      <c r="K12" s="6">
        <f>J12+35</f>
        <v>44636</v>
      </c>
      <c r="L12" s="341">
        <v>55000000</v>
      </c>
      <c r="M12" s="6">
        <f>J12+180</f>
        <v>44781</v>
      </c>
      <c r="N12" s="341"/>
      <c r="O12" s="341"/>
      <c r="P12" s="6"/>
      <c r="Q12" s="5" t="s">
        <v>247</v>
      </c>
      <c r="R12" s="502" t="s">
        <v>554</v>
      </c>
    </row>
    <row r="13" spans="1:22" s="5" customFormat="1" ht="11.4">
      <c r="A13" s="5">
        <v>21</v>
      </c>
      <c r="B13" s="5">
        <v>27</v>
      </c>
      <c r="C13" s="5">
        <v>5462</v>
      </c>
      <c r="D13" s="5" t="s">
        <v>504</v>
      </c>
      <c r="E13" s="5" t="s">
        <v>250</v>
      </c>
      <c r="F13" s="26" t="s">
        <v>394</v>
      </c>
      <c r="G13" s="26" t="s">
        <v>209</v>
      </c>
      <c r="H13" s="344">
        <v>60000000</v>
      </c>
      <c r="I13" s="341">
        <f>H13</f>
        <v>60000000</v>
      </c>
      <c r="J13" s="6">
        <v>44587</v>
      </c>
      <c r="K13" s="6">
        <f>J13+35</f>
        <v>44622</v>
      </c>
      <c r="L13" s="341">
        <v>60000000</v>
      </c>
      <c r="M13" s="6">
        <f>J13+180</f>
        <v>44767</v>
      </c>
      <c r="N13" s="341"/>
      <c r="O13" s="341"/>
      <c r="P13" s="6"/>
      <c r="Q13" s="5" t="s">
        <v>247</v>
      </c>
      <c r="R13" s="502" t="s">
        <v>517</v>
      </c>
      <c r="S13" s="371" t="s">
        <v>523</v>
      </c>
    </row>
    <row r="14" spans="1:22">
      <c r="A14" s="13">
        <v>24</v>
      </c>
      <c r="B14" s="13">
        <v>29</v>
      </c>
      <c r="C14" s="13" t="s">
        <v>426</v>
      </c>
      <c r="D14" s="13" t="s">
        <v>315</v>
      </c>
      <c r="E14" s="13" t="s">
        <v>249</v>
      </c>
      <c r="F14" s="36" t="s">
        <v>509</v>
      </c>
      <c r="G14" s="36" t="s">
        <v>78</v>
      </c>
      <c r="H14" s="409">
        <v>0</v>
      </c>
      <c r="I14" s="286"/>
      <c r="J14" s="11"/>
      <c r="K14" s="11"/>
      <c r="L14" s="286"/>
      <c r="N14" s="286"/>
      <c r="O14" s="286"/>
      <c r="P14" s="11"/>
      <c r="Q14" s="13" t="s">
        <v>247</v>
      </c>
      <c r="R14" s="92" t="s">
        <v>558</v>
      </c>
    </row>
    <row r="15" spans="1:22">
      <c r="A15" s="13">
        <v>25</v>
      </c>
      <c r="B15" s="13">
        <v>30</v>
      </c>
      <c r="C15" s="13" t="s">
        <v>427</v>
      </c>
      <c r="D15" s="13" t="s">
        <v>315</v>
      </c>
      <c r="E15" s="13" t="s">
        <v>249</v>
      </c>
      <c r="F15" s="36" t="s">
        <v>297</v>
      </c>
      <c r="G15" s="36" t="s">
        <v>78</v>
      </c>
      <c r="H15" s="409">
        <v>0</v>
      </c>
      <c r="I15" s="286"/>
      <c r="J15" s="11"/>
      <c r="K15" s="11"/>
      <c r="L15" s="286"/>
      <c r="N15" s="286"/>
      <c r="O15" s="286"/>
      <c r="P15" s="11"/>
      <c r="Q15" s="13" t="s">
        <v>247</v>
      </c>
      <c r="R15" s="92" t="s">
        <v>571</v>
      </c>
    </row>
    <row r="16" spans="1:22" s="89" customFormat="1" ht="11.4">
      <c r="A16" s="89">
        <v>26</v>
      </c>
      <c r="B16" s="89">
        <v>31</v>
      </c>
      <c r="C16" s="89">
        <v>5509</v>
      </c>
      <c r="D16" s="89" t="s">
        <v>504</v>
      </c>
      <c r="E16" s="89" t="s">
        <v>167</v>
      </c>
      <c r="F16" s="88" t="s">
        <v>435</v>
      </c>
      <c r="G16" s="88" t="s">
        <v>168</v>
      </c>
      <c r="H16" s="507">
        <v>52000000</v>
      </c>
      <c r="I16" s="509">
        <f>H16</f>
        <v>52000000</v>
      </c>
      <c r="J16" s="91">
        <v>44616</v>
      </c>
      <c r="K16" s="91">
        <f>J16+35</f>
        <v>44651</v>
      </c>
      <c r="L16" s="509">
        <v>52000000</v>
      </c>
      <c r="M16" s="91">
        <f>J16+180</f>
        <v>44796</v>
      </c>
      <c r="N16" s="509"/>
      <c r="O16" s="509"/>
      <c r="P16" s="91"/>
      <c r="Q16" s="89" t="s">
        <v>247</v>
      </c>
      <c r="R16" s="524" t="s">
        <v>578</v>
      </c>
      <c r="S16" s="510" t="s">
        <v>581</v>
      </c>
    </row>
    <row r="17" spans="1:18">
      <c r="A17" s="528">
        <v>27</v>
      </c>
      <c r="B17" s="528">
        <v>33</v>
      </c>
      <c r="C17" s="528" t="s">
        <v>428</v>
      </c>
      <c r="D17" s="528" t="s">
        <v>43</v>
      </c>
      <c r="E17" s="528" t="s">
        <v>249</v>
      </c>
      <c r="F17" s="529" t="s">
        <v>436</v>
      </c>
      <c r="G17" s="529" t="s">
        <v>78</v>
      </c>
      <c r="H17" s="530">
        <v>0</v>
      </c>
      <c r="I17" s="531"/>
      <c r="J17" s="532"/>
      <c r="K17" s="532"/>
      <c r="L17" s="531"/>
      <c r="M17" s="532"/>
      <c r="N17" s="531"/>
      <c r="O17" s="531"/>
      <c r="P17" s="532"/>
      <c r="Q17" s="528" t="s">
        <v>247</v>
      </c>
      <c r="R17" s="92"/>
    </row>
    <row r="18" spans="1:18">
      <c r="A18" s="13">
        <v>28</v>
      </c>
      <c r="B18" s="13">
        <v>34</v>
      </c>
      <c r="C18" s="13" t="s">
        <v>429</v>
      </c>
      <c r="D18" s="13" t="s">
        <v>315</v>
      </c>
      <c r="E18" s="13" t="s">
        <v>249</v>
      </c>
      <c r="F18" s="36" t="s">
        <v>378</v>
      </c>
      <c r="G18" s="36" t="s">
        <v>78</v>
      </c>
      <c r="H18" s="409">
        <v>0</v>
      </c>
      <c r="I18" s="286"/>
      <c r="J18" s="11"/>
      <c r="K18" s="11"/>
      <c r="L18" s="286"/>
      <c r="N18" s="286"/>
      <c r="O18" s="286"/>
      <c r="P18" s="11"/>
      <c r="Q18" s="13" t="s">
        <v>247</v>
      </c>
      <c r="R18" s="92"/>
    </row>
    <row r="19" spans="1:18">
      <c r="A19" s="528">
        <v>34</v>
      </c>
      <c r="B19" s="528">
        <v>38</v>
      </c>
      <c r="C19" s="528" t="s">
        <v>437</v>
      </c>
      <c r="D19" s="528" t="s">
        <v>43</v>
      </c>
      <c r="E19" s="528" t="s">
        <v>97</v>
      </c>
      <c r="F19" s="529" t="s">
        <v>441</v>
      </c>
      <c r="G19" s="529" t="s">
        <v>95</v>
      </c>
      <c r="H19" s="530">
        <v>0</v>
      </c>
      <c r="I19" s="531"/>
      <c r="J19" s="532"/>
      <c r="K19" s="532"/>
      <c r="L19" s="531"/>
      <c r="M19" s="532"/>
      <c r="N19" s="531"/>
      <c r="O19" s="531"/>
      <c r="P19" s="532"/>
      <c r="Q19" s="528" t="s">
        <v>255</v>
      </c>
      <c r="R19" s="92"/>
    </row>
    <row r="20" spans="1:18">
      <c r="A20" s="528">
        <v>35</v>
      </c>
      <c r="B20" s="528">
        <v>39</v>
      </c>
      <c r="C20" s="528" t="s">
        <v>438</v>
      </c>
      <c r="D20" s="528" t="s">
        <v>43</v>
      </c>
      <c r="E20" s="528" t="s">
        <v>249</v>
      </c>
      <c r="F20" s="529" t="s">
        <v>442</v>
      </c>
      <c r="G20" s="529" t="s">
        <v>78</v>
      </c>
      <c r="H20" s="530">
        <v>0</v>
      </c>
      <c r="I20" s="531"/>
      <c r="J20" s="532"/>
      <c r="K20" s="532"/>
      <c r="L20" s="531"/>
      <c r="M20" s="532"/>
      <c r="N20" s="531"/>
      <c r="O20" s="531"/>
      <c r="P20" s="532"/>
      <c r="Q20" s="528" t="s">
        <v>255</v>
      </c>
      <c r="R20" s="92"/>
    </row>
    <row r="21" spans="1:18">
      <c r="A21" s="13">
        <v>36</v>
      </c>
      <c r="B21" s="13">
        <v>40</v>
      </c>
      <c r="C21" s="13" t="s">
        <v>439</v>
      </c>
      <c r="D21" s="13" t="s">
        <v>584</v>
      </c>
      <c r="E21" s="13" t="s">
        <v>249</v>
      </c>
      <c r="F21" s="36" t="s">
        <v>443</v>
      </c>
      <c r="G21" s="36" t="s">
        <v>78</v>
      </c>
      <c r="H21" s="409">
        <v>0</v>
      </c>
      <c r="I21" s="286"/>
      <c r="J21" s="11"/>
      <c r="K21" s="11"/>
      <c r="L21" s="286"/>
      <c r="N21" s="286"/>
      <c r="O21" s="286"/>
      <c r="P21" s="11"/>
      <c r="Q21" s="13" t="s">
        <v>255</v>
      </c>
      <c r="R21" s="92"/>
    </row>
    <row r="22" spans="1:18">
      <c r="A22" s="528">
        <v>50</v>
      </c>
      <c r="B22" s="528">
        <v>50</v>
      </c>
      <c r="C22" s="528" t="s">
        <v>440</v>
      </c>
      <c r="D22" s="528" t="s">
        <v>43</v>
      </c>
      <c r="E22" s="528" t="s">
        <v>250</v>
      </c>
      <c r="F22" s="529" t="s">
        <v>444</v>
      </c>
      <c r="G22" s="529" t="s">
        <v>209</v>
      </c>
      <c r="H22" s="530">
        <v>0</v>
      </c>
      <c r="I22" s="531"/>
      <c r="J22" s="532"/>
      <c r="K22" s="532"/>
      <c r="L22" s="531"/>
      <c r="M22" s="532"/>
      <c r="N22" s="531"/>
      <c r="O22" s="531"/>
      <c r="P22" s="532"/>
      <c r="Q22" s="528" t="s">
        <v>255</v>
      </c>
      <c r="R22" s="92"/>
    </row>
    <row r="23" spans="1:18">
      <c r="A23" s="528" t="s">
        <v>146</v>
      </c>
      <c r="B23" s="528" t="s">
        <v>146</v>
      </c>
      <c r="C23" s="528" t="s">
        <v>503</v>
      </c>
      <c r="D23" s="528" t="s">
        <v>43</v>
      </c>
      <c r="E23" s="528" t="s">
        <v>249</v>
      </c>
      <c r="F23" s="529" t="s">
        <v>510</v>
      </c>
      <c r="G23" s="529" t="s">
        <v>78</v>
      </c>
      <c r="H23" s="530">
        <v>0</v>
      </c>
      <c r="I23" s="531"/>
      <c r="J23" s="532"/>
      <c r="K23" s="532"/>
      <c r="L23" s="531"/>
      <c r="M23" s="532"/>
      <c r="N23" s="531"/>
      <c r="O23" s="531"/>
      <c r="P23" s="532"/>
      <c r="Q23" s="528" t="s">
        <v>255</v>
      </c>
      <c r="R23" s="92"/>
    </row>
    <row r="24" spans="1:18">
      <c r="F24" s="36"/>
      <c r="G24" s="36"/>
      <c r="H24" s="409"/>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310774039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2"/>
      <c r="N31" s="191"/>
    </row>
    <row r="32" spans="1:18">
      <c r="D32" s="43"/>
      <c r="F32" s="58"/>
      <c r="H32" s="27"/>
      <c r="I32" s="462"/>
      <c r="J32" s="11"/>
      <c r="L32" s="391"/>
      <c r="N32" s="12"/>
    </row>
    <row r="33" spans="1:14">
      <c r="C33" s="13">
        <v>5441</v>
      </c>
      <c r="D33" s="13" t="s">
        <v>77</v>
      </c>
      <c r="E33" s="13" t="s">
        <v>250</v>
      </c>
      <c r="F33" s="36" t="s">
        <v>94</v>
      </c>
      <c r="G33" s="286">
        <v>60000000</v>
      </c>
      <c r="H33" s="498" t="s">
        <v>522</v>
      </c>
      <c r="N33" s="12"/>
    </row>
    <row r="34" spans="1:14">
      <c r="C34" s="13">
        <v>5444</v>
      </c>
      <c r="D34" s="13" t="s">
        <v>77</v>
      </c>
      <c r="E34" s="13" t="s">
        <v>249</v>
      </c>
      <c r="F34" s="36" t="s">
        <v>94</v>
      </c>
      <c r="G34" s="286">
        <v>40000000</v>
      </c>
      <c r="H34" s="498" t="s">
        <v>532</v>
      </c>
      <c r="N34" s="12"/>
    </row>
    <row r="35" spans="1:14">
      <c r="C35" s="13">
        <v>5095</v>
      </c>
      <c r="D35" s="13" t="s">
        <v>77</v>
      </c>
      <c r="E35" s="13" t="s">
        <v>167</v>
      </c>
      <c r="F35" s="36" t="s">
        <v>94</v>
      </c>
      <c r="G35" s="503">
        <v>4000000</v>
      </c>
      <c r="H35" s="498" t="s">
        <v>580</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91"/>
      <c r="J7" s="11"/>
      <c r="K7" s="11"/>
      <c r="L7" s="491"/>
      <c r="M7" s="11"/>
      <c r="N7" s="286"/>
      <c r="O7" s="307"/>
      <c r="P7" s="11"/>
      <c r="R7" s="440"/>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1"/>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t="s">
        <v>146</v>
      </c>
      <c r="B7" s="89" t="s">
        <v>146</v>
      </c>
      <c r="C7" s="89">
        <v>5510</v>
      </c>
      <c r="D7" s="89" t="s">
        <v>504</v>
      </c>
      <c r="E7" s="89" t="s">
        <v>572</v>
      </c>
      <c r="F7" s="88" t="s">
        <v>573</v>
      </c>
      <c r="G7" s="88" t="s">
        <v>348</v>
      </c>
      <c r="H7" s="509">
        <v>18000000</v>
      </c>
      <c r="I7" s="509">
        <f>H7</f>
        <v>18000000</v>
      </c>
      <c r="J7" s="91">
        <v>44616</v>
      </c>
      <c r="K7" s="91">
        <f>J7+35</f>
        <v>44651</v>
      </c>
      <c r="L7" s="509">
        <v>18000000</v>
      </c>
      <c r="M7" s="91">
        <f>J7+180</f>
        <v>44796</v>
      </c>
      <c r="N7" s="509"/>
      <c r="O7" s="509"/>
      <c r="P7" s="91"/>
      <c r="Q7" s="89" t="s">
        <v>226</v>
      </c>
      <c r="R7" s="525" t="s">
        <v>579</v>
      </c>
      <c r="S7" s="510" t="s">
        <v>583</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18000000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C18" s="13">
        <v>5437</v>
      </c>
      <c r="D18" s="13" t="s">
        <v>77</v>
      </c>
      <c r="E18" s="13" t="s">
        <v>347</v>
      </c>
      <c r="F18" s="13" t="s">
        <v>94</v>
      </c>
      <c r="G18" s="2">
        <v>18000000</v>
      </c>
      <c r="H18" s="498" t="s">
        <v>582</v>
      </c>
    </row>
    <row r="19" spans="1:17">
      <c r="G19" s="526">
        <f>SUM(G18)</f>
        <v>18000000</v>
      </c>
      <c r="H19" s="65"/>
    </row>
    <row r="20" spans="1:17">
      <c r="H20" s="65"/>
    </row>
    <row r="21" spans="1:17">
      <c r="H21"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 customFormat="1" ht="11.4">
      <c r="A7" s="5">
        <v>2</v>
      </c>
      <c r="B7" s="5">
        <v>2</v>
      </c>
      <c r="C7" s="5">
        <v>5472</v>
      </c>
      <c r="D7" s="5" t="s">
        <v>504</v>
      </c>
      <c r="E7" s="5" t="s">
        <v>211</v>
      </c>
      <c r="F7" s="26" t="s">
        <v>447</v>
      </c>
      <c r="G7" s="26" t="s">
        <v>80</v>
      </c>
      <c r="H7" s="341">
        <v>36000000</v>
      </c>
      <c r="I7" s="341">
        <f>H7</f>
        <v>36000000</v>
      </c>
      <c r="J7" s="6">
        <v>44595</v>
      </c>
      <c r="K7" s="6">
        <f>J7+35</f>
        <v>44630</v>
      </c>
      <c r="L7" s="341">
        <v>36000000</v>
      </c>
      <c r="M7" s="6">
        <f>J7+180</f>
        <v>44775</v>
      </c>
      <c r="N7" s="341"/>
      <c r="O7" s="341"/>
      <c r="P7" s="6"/>
      <c r="Q7" s="5" t="s">
        <v>206</v>
      </c>
      <c r="R7" s="502" t="s">
        <v>541</v>
      </c>
    </row>
    <row r="8" spans="1:22">
      <c r="A8" s="13">
        <v>3</v>
      </c>
      <c r="B8" s="13">
        <v>7</v>
      </c>
      <c r="C8" s="13" t="s">
        <v>445</v>
      </c>
      <c r="D8" s="13" t="s">
        <v>315</v>
      </c>
      <c r="E8" s="13" t="s">
        <v>252</v>
      </c>
      <c r="F8" s="36" t="s">
        <v>350</v>
      </c>
      <c r="G8" s="36" t="s">
        <v>80</v>
      </c>
      <c r="H8" s="286">
        <v>0</v>
      </c>
      <c r="I8" s="286"/>
      <c r="J8" s="11"/>
      <c r="K8" s="11"/>
      <c r="L8" s="286"/>
      <c r="M8" s="11"/>
      <c r="N8" s="286"/>
      <c r="O8" s="286"/>
      <c r="P8" s="11"/>
      <c r="Q8" s="13" t="s">
        <v>206</v>
      </c>
      <c r="R8" s="92" t="s">
        <v>529</v>
      </c>
    </row>
    <row r="9" spans="1:22">
      <c r="A9" s="13">
        <v>7</v>
      </c>
      <c r="B9" s="13">
        <v>13</v>
      </c>
      <c r="C9" s="13" t="s">
        <v>446</v>
      </c>
      <c r="D9" s="13" t="s">
        <v>315</v>
      </c>
      <c r="E9" s="13" t="s">
        <v>252</v>
      </c>
      <c r="F9" s="36" t="s">
        <v>351</v>
      </c>
      <c r="G9" s="36" t="s">
        <v>80</v>
      </c>
      <c r="H9" s="286">
        <v>0</v>
      </c>
      <c r="I9" s="286"/>
      <c r="J9" s="11"/>
      <c r="K9" s="11"/>
      <c r="L9" s="286"/>
      <c r="M9" s="11"/>
      <c r="N9" s="286"/>
      <c r="O9" s="286"/>
      <c r="P9" s="11"/>
      <c r="Q9" s="13" t="s">
        <v>206</v>
      </c>
      <c r="R9" s="92" t="s">
        <v>530</v>
      </c>
    </row>
    <row r="10" spans="1:22" s="5" customFormat="1" ht="11.4">
      <c r="A10" s="5">
        <v>9</v>
      </c>
      <c r="B10" s="5">
        <v>15</v>
      </c>
      <c r="C10" s="5">
        <v>5485</v>
      </c>
      <c r="D10" s="5" t="s">
        <v>504</v>
      </c>
      <c r="E10" s="5" t="s">
        <v>448</v>
      </c>
      <c r="F10" s="26" t="s">
        <v>449</v>
      </c>
      <c r="G10" s="26" t="s">
        <v>450</v>
      </c>
      <c r="H10" s="341">
        <v>55000000</v>
      </c>
      <c r="I10" s="341">
        <f>H10</f>
        <v>55000000</v>
      </c>
      <c r="J10" s="6">
        <v>44597</v>
      </c>
      <c r="K10" s="6">
        <f>J10+35</f>
        <v>44632</v>
      </c>
      <c r="L10" s="341">
        <v>55000000</v>
      </c>
      <c r="M10" s="6">
        <f>J10+180</f>
        <v>44777</v>
      </c>
      <c r="N10" s="341"/>
      <c r="O10" s="341"/>
      <c r="P10" s="6"/>
      <c r="Q10" s="5" t="s">
        <v>247</v>
      </c>
      <c r="R10" s="502" t="s">
        <v>549</v>
      </c>
    </row>
    <row r="11" spans="1:22">
      <c r="A11" s="13">
        <v>45</v>
      </c>
      <c r="B11" s="13">
        <v>45</v>
      </c>
      <c r="C11" s="13">
        <v>5473</v>
      </c>
      <c r="D11" s="13" t="s">
        <v>315</v>
      </c>
      <c r="E11" s="13" t="s">
        <v>252</v>
      </c>
      <c r="F11" s="36" t="s">
        <v>451</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9" t="s">
        <v>545</v>
      </c>
    </row>
    <row r="12" spans="1:22">
      <c r="A12" s="13">
        <v>54</v>
      </c>
      <c r="B12" s="13">
        <v>54</v>
      </c>
      <c r="C12" s="13">
        <v>5474</v>
      </c>
      <c r="D12" s="13" t="s">
        <v>315</v>
      </c>
      <c r="E12" s="13" t="s">
        <v>252</v>
      </c>
      <c r="F12" s="36" t="s">
        <v>349</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9" t="s">
        <v>545</v>
      </c>
    </row>
    <row r="13" spans="1:22" s="533" customFormat="1">
      <c r="A13" s="533" t="s">
        <v>146</v>
      </c>
      <c r="B13" s="533" t="s">
        <v>146</v>
      </c>
      <c r="C13" s="533">
        <v>5475</v>
      </c>
      <c r="D13" s="533" t="s">
        <v>316</v>
      </c>
      <c r="E13" s="533" t="s">
        <v>251</v>
      </c>
      <c r="F13" s="534" t="s">
        <v>326</v>
      </c>
      <c r="G13" s="534" t="s">
        <v>327</v>
      </c>
      <c r="H13" s="503">
        <v>22500000</v>
      </c>
      <c r="I13" s="503">
        <f>H13</f>
        <v>22500000</v>
      </c>
      <c r="J13" s="535">
        <v>44595</v>
      </c>
      <c r="K13" s="535">
        <f>J13+35</f>
        <v>44630</v>
      </c>
      <c r="L13" s="503">
        <v>18740000</v>
      </c>
      <c r="M13" s="535">
        <f>J13+180</f>
        <v>44775</v>
      </c>
      <c r="N13" s="503">
        <v>0</v>
      </c>
      <c r="O13" s="503">
        <f>I13-N13</f>
        <v>22500000</v>
      </c>
      <c r="P13" s="535">
        <v>44622</v>
      </c>
      <c r="Q13" s="533" t="s">
        <v>255</v>
      </c>
      <c r="R13" s="536"/>
      <c r="S13" s="537" t="s">
        <v>546</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90500000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105937752</v>
      </c>
      <c r="I19" s="289"/>
      <c r="J19" s="137"/>
      <c r="K19" s="92"/>
      <c r="L19" s="82"/>
      <c r="M19" s="137"/>
      <c r="O19" s="9"/>
      <c r="Q19" s="13"/>
    </row>
    <row r="20" spans="1:17">
      <c r="H20" s="60"/>
      <c r="I20" s="60"/>
      <c r="J20" s="10"/>
      <c r="K20" s="92"/>
      <c r="L20" s="35"/>
    </row>
    <row r="21" spans="1:17">
      <c r="A21" s="5"/>
      <c r="B21" s="5"/>
      <c r="G21" s="503"/>
      <c r="H21" s="415"/>
      <c r="K21" s="11"/>
    </row>
    <row r="22" spans="1:17">
      <c r="A22" s="5"/>
      <c r="B22" s="5"/>
      <c r="C22" s="5"/>
      <c r="G22" s="417">
        <f>SUM(G21:G21)</f>
        <v>0</v>
      </c>
    </row>
    <row r="24" spans="1:17">
      <c r="G24" s="10"/>
    </row>
    <row r="25" spans="1:17">
      <c r="G25" s="286"/>
      <c r="H25" s="418"/>
      <c r="J25" s="13" t="s">
        <v>7</v>
      </c>
    </row>
    <row r="26" spans="1:17">
      <c r="G26" s="286"/>
      <c r="H26" s="415"/>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452</v>
      </c>
      <c r="D7" s="13" t="s">
        <v>315</v>
      </c>
      <c r="E7" s="13" t="s">
        <v>141</v>
      </c>
      <c r="F7" s="36" t="s">
        <v>454</v>
      </c>
      <c r="G7" s="36" t="s">
        <v>455</v>
      </c>
      <c r="H7" s="409">
        <v>0</v>
      </c>
      <c r="I7" s="286"/>
      <c r="J7" s="11"/>
      <c r="K7" s="11"/>
      <c r="L7" s="286"/>
      <c r="M7" s="11"/>
      <c r="N7" s="286"/>
      <c r="O7" s="286"/>
      <c r="P7" s="11"/>
      <c r="Q7" s="13" t="s">
        <v>247</v>
      </c>
      <c r="R7" s="92"/>
      <c r="S7" s="43"/>
    </row>
    <row r="8" spans="1:22">
      <c r="A8" s="13">
        <v>43</v>
      </c>
      <c r="B8" s="13">
        <v>44</v>
      </c>
      <c r="C8" s="13" t="s">
        <v>453</v>
      </c>
      <c r="D8" s="13" t="s">
        <v>315</v>
      </c>
      <c r="E8" s="13" t="s">
        <v>141</v>
      </c>
      <c r="F8" s="36" t="s">
        <v>456</v>
      </c>
      <c r="G8" s="36" t="s">
        <v>254</v>
      </c>
      <c r="H8" s="409">
        <v>0</v>
      </c>
      <c r="I8" s="286"/>
      <c r="J8" s="11"/>
      <c r="K8" s="11"/>
      <c r="L8" s="286"/>
      <c r="M8" s="11"/>
      <c r="N8" s="342"/>
      <c r="O8" s="286"/>
      <c r="P8" s="11"/>
      <c r="Q8" s="13" t="s">
        <v>255</v>
      </c>
      <c r="R8" s="92"/>
      <c r="S8" s="43"/>
    </row>
    <row r="9" spans="1:22" s="5" customFormat="1" ht="11.4">
      <c r="A9" s="5" t="s">
        <v>146</v>
      </c>
      <c r="B9" s="5" t="s">
        <v>146</v>
      </c>
      <c r="C9" s="5">
        <v>5459</v>
      </c>
      <c r="D9" s="5" t="s">
        <v>504</v>
      </c>
      <c r="E9" s="5" t="s">
        <v>98</v>
      </c>
      <c r="F9" s="26" t="s">
        <v>502</v>
      </c>
      <c r="G9" s="26" t="s">
        <v>79</v>
      </c>
      <c r="H9" s="344">
        <v>52000000</v>
      </c>
      <c r="I9" s="341">
        <v>52000000</v>
      </c>
      <c r="J9" s="6">
        <v>44572</v>
      </c>
      <c r="K9" s="6">
        <f>J9+35</f>
        <v>44607</v>
      </c>
      <c r="L9" s="341">
        <v>52000000</v>
      </c>
      <c r="M9" s="6">
        <f>J9+180</f>
        <v>44752</v>
      </c>
      <c r="N9" s="518"/>
      <c r="O9" s="341"/>
      <c r="P9" s="6"/>
      <c r="Q9" s="5" t="s">
        <v>255</v>
      </c>
      <c r="R9" s="141"/>
      <c r="S9" s="527" t="s">
        <v>508</v>
      </c>
    </row>
    <row r="10" spans="1:22" s="533" customFormat="1">
      <c r="A10" s="533" t="s">
        <v>146</v>
      </c>
      <c r="B10" s="533" t="s">
        <v>146</v>
      </c>
      <c r="C10" s="533">
        <v>5511</v>
      </c>
      <c r="D10" s="533" t="s">
        <v>316</v>
      </c>
      <c r="E10" s="533" t="s">
        <v>98</v>
      </c>
      <c r="F10" s="534" t="s">
        <v>402</v>
      </c>
      <c r="G10" s="534" t="s">
        <v>79</v>
      </c>
      <c r="H10" s="546">
        <v>3000000</v>
      </c>
      <c r="I10" s="503">
        <f>H10</f>
        <v>3000000</v>
      </c>
      <c r="J10" s="535">
        <v>44618</v>
      </c>
      <c r="K10" s="535">
        <f>J10+35</f>
        <v>44653</v>
      </c>
      <c r="L10" s="503">
        <v>3000000</v>
      </c>
      <c r="M10" s="535">
        <f>J10+180</f>
        <v>44798</v>
      </c>
      <c r="N10" s="547">
        <v>0</v>
      </c>
      <c r="O10" s="503">
        <f>L10-N10</f>
        <v>3000000</v>
      </c>
      <c r="P10" s="535">
        <v>44649</v>
      </c>
      <c r="Q10" s="533" t="s">
        <v>255</v>
      </c>
      <c r="R10" s="548"/>
      <c r="S10" s="549"/>
    </row>
    <row r="11" spans="1:22">
      <c r="F11" s="36"/>
      <c r="G11" s="36"/>
      <c r="H11" s="409"/>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55000000</v>
      </c>
      <c r="M12" s="10"/>
      <c r="N12" s="261">
        <f>SUM(N7:N11)</f>
        <v>0</v>
      </c>
      <c r="O12" s="261">
        <f>SUM(O7:O11)</f>
        <v>3000000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507</v>
      </c>
      <c r="K19" s="11"/>
      <c r="L19" s="392"/>
      <c r="N19" s="386"/>
    </row>
    <row r="20" spans="1:14">
      <c r="C20" s="13">
        <v>5253</v>
      </c>
      <c r="D20" s="13" t="s">
        <v>77</v>
      </c>
      <c r="E20" s="13" t="s">
        <v>98</v>
      </c>
      <c r="F20" s="36" t="s">
        <v>94</v>
      </c>
      <c r="G20" s="286">
        <v>4000000</v>
      </c>
      <c r="H20" s="285" t="s">
        <v>610</v>
      </c>
      <c r="K20" s="11"/>
      <c r="L20" s="392"/>
      <c r="N20" s="386"/>
    </row>
    <row r="21" spans="1:14">
      <c r="F21" s="36"/>
      <c r="G21" s="296">
        <f>SUM(G19:G20)</f>
        <v>49000000</v>
      </c>
      <c r="L21" s="392"/>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40"/>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315</v>
      </c>
      <c r="E7" s="13" t="s">
        <v>377</v>
      </c>
      <c r="F7" s="36" t="s">
        <v>457</v>
      </c>
      <c r="G7" s="36" t="s">
        <v>81</v>
      </c>
      <c r="H7" s="409">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504</v>
      </c>
      <c r="E8" s="5" t="s">
        <v>386</v>
      </c>
      <c r="F8" s="26" t="s">
        <v>458</v>
      </c>
      <c r="G8" s="26" t="s">
        <v>459</v>
      </c>
      <c r="H8" s="341">
        <v>25000000</v>
      </c>
      <c r="I8" s="341">
        <f>H8</f>
        <v>25000000</v>
      </c>
      <c r="J8" s="6">
        <v>44589</v>
      </c>
      <c r="K8" s="6">
        <f>J8+35</f>
        <v>44624</v>
      </c>
      <c r="L8" s="341">
        <v>25000000</v>
      </c>
      <c r="M8" s="6">
        <f>J8+180</f>
        <v>44769</v>
      </c>
      <c r="N8" s="341"/>
      <c r="O8" s="341"/>
      <c r="P8" s="6"/>
      <c r="Q8" s="5" t="s">
        <v>255</v>
      </c>
      <c r="R8" s="141"/>
    </row>
    <row r="9" spans="1:22" s="89" customFormat="1" ht="11.4">
      <c r="A9" s="89" t="s">
        <v>146</v>
      </c>
      <c r="B9" s="89" t="s">
        <v>146</v>
      </c>
      <c r="C9" s="89">
        <v>5506</v>
      </c>
      <c r="D9" s="89" t="s">
        <v>504</v>
      </c>
      <c r="E9" s="89" t="s">
        <v>386</v>
      </c>
      <c r="F9" s="88" t="s">
        <v>387</v>
      </c>
      <c r="G9" s="88" t="s">
        <v>388</v>
      </c>
      <c r="H9" s="509">
        <v>22000000</v>
      </c>
      <c r="I9" s="509">
        <v>22000000</v>
      </c>
      <c r="J9" s="91">
        <v>44610</v>
      </c>
      <c r="K9" s="91">
        <f>J9+35</f>
        <v>44645</v>
      </c>
      <c r="L9" s="509">
        <v>22000000</v>
      </c>
      <c r="M9" s="91">
        <f>J9+180</f>
        <v>44790</v>
      </c>
      <c r="N9" s="509"/>
      <c r="O9" s="509"/>
      <c r="P9" s="91"/>
      <c r="Q9" s="89" t="s">
        <v>255</v>
      </c>
      <c r="R9" s="511"/>
      <c r="S9" s="510" t="s">
        <v>568</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47000000</v>
      </c>
      <c r="M11" s="10"/>
      <c r="N11" s="261">
        <f>SUM(N7:N10)</f>
        <v>0</v>
      </c>
      <c r="O11" s="261">
        <f>SUM(O7:O10)</f>
        <v>35000000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3:8">
      <c r="C17" s="13">
        <v>5438</v>
      </c>
      <c r="D17" s="13" t="s">
        <v>77</v>
      </c>
      <c r="E17" s="13" t="s">
        <v>386</v>
      </c>
      <c r="F17" s="13" t="s">
        <v>94</v>
      </c>
      <c r="G17" s="10">
        <v>22000000</v>
      </c>
      <c r="H17" s="208" t="s">
        <v>567</v>
      </c>
    </row>
    <row r="18" spans="3:8">
      <c r="G18" s="343">
        <f>SUM(G17)</f>
        <v>22000000</v>
      </c>
      <c r="H18" s="66"/>
    </row>
    <row r="19" spans="3:8">
      <c r="H19" s="66"/>
    </row>
    <row r="20" spans="3:8">
      <c r="H20" s="65"/>
    </row>
    <row r="21" spans="3:8">
      <c r="H21" s="65"/>
    </row>
    <row r="22" spans="3:8">
      <c r="H22" s="65"/>
    </row>
    <row r="23" spans="3:8">
      <c r="H23" s="65"/>
    </row>
    <row r="24" spans="3:8">
      <c r="H24" s="65"/>
    </row>
    <row r="25" spans="3:8">
      <c r="H25" s="65"/>
    </row>
    <row r="26" spans="3:8">
      <c r="H26" s="65"/>
    </row>
    <row r="27" spans="3:8">
      <c r="H27" s="65"/>
    </row>
    <row r="28" spans="3: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8"/>
  <sheetViews>
    <sheetView workbookViewId="0">
      <selection activeCell="F14" sqref="F14"/>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5.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1" bestFit="1" customWidth="1"/>
    <col min="15" max="16" width="9.125" customWidth="1"/>
    <col min="17" max="17" width="12.25" bestFit="1" customWidth="1"/>
    <col min="18" max="18" width="9.125" customWidth="1"/>
    <col min="20" max="20" width="26.75" bestFit="1" customWidth="1"/>
  </cols>
  <sheetData>
    <row r="1" spans="1:20" ht="13.2">
      <c r="A1" s="158"/>
      <c r="B1" s="158" t="s">
        <v>420</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295</v>
      </c>
    </row>
    <row r="5" spans="1:20">
      <c r="A5" s="31" t="s">
        <v>243</v>
      </c>
    </row>
    <row r="6" spans="1:20">
      <c r="A6" s="31"/>
      <c r="H6" s="198"/>
      <c r="K6" s="198"/>
    </row>
    <row r="7" spans="1:20" ht="12.75" customHeight="1">
      <c r="A7" s="31" t="s">
        <v>148</v>
      </c>
      <c r="H7" s="198"/>
      <c r="K7" s="198"/>
    </row>
    <row r="8" spans="1:20" s="1" customFormat="1" ht="12">
      <c r="A8" s="136"/>
      <c r="F8" s="9"/>
      <c r="G8" s="9"/>
      <c r="H8" s="3"/>
      <c r="I8" s="3"/>
      <c r="J8" s="9"/>
      <c r="L8" s="9"/>
      <c r="M8" s="9"/>
    </row>
    <row r="9" spans="1:20" ht="12">
      <c r="A9" s="31" t="s">
        <v>91</v>
      </c>
      <c r="D9" s="1"/>
      <c r="H9" s="198"/>
    </row>
    <row r="10" spans="1:20" ht="12">
      <c r="A10" s="136"/>
      <c r="B10" s="1"/>
      <c r="C10" s="1"/>
      <c r="D10" s="1"/>
      <c r="E10" s="1"/>
      <c r="F10" s="9"/>
      <c r="H10" s="198"/>
      <c r="K10" s="198"/>
    </row>
    <row r="11" spans="1:20" ht="12">
      <c r="F11" s="192">
        <f>SUM(F6:F10)</f>
        <v>0</v>
      </c>
      <c r="G11" s="192">
        <f>SUM(G6:G10)</f>
        <v>0</v>
      </c>
      <c r="H11" s="132"/>
      <c r="I11" s="151"/>
      <c r="J11" s="192">
        <f>SUM(J6:J10)</f>
        <v>0</v>
      </c>
      <c r="K11" s="132"/>
      <c r="L11" s="192">
        <f>SUM(L6:L10)</f>
        <v>0</v>
      </c>
      <c r="M11" s="192">
        <f>SUM(M6:M10)</f>
        <v>0</v>
      </c>
    </row>
    <row r="12" spans="1:20">
      <c r="H12" s="198"/>
      <c r="I12" s="198"/>
    </row>
    <row r="13" spans="1:20" ht="12" thickBot="1">
      <c r="G13" s="196"/>
      <c r="H13" s="198"/>
      <c r="I13" s="198"/>
    </row>
    <row r="14" spans="1:20" ht="12.6" thickBot="1">
      <c r="D14" s="194" t="s">
        <v>153</v>
      </c>
      <c r="E14" s="195"/>
      <c r="F14" s="433"/>
      <c r="H14" s="410"/>
      <c r="I14" s="198"/>
      <c r="T14" s="322"/>
    </row>
    <row r="15" spans="1:20">
      <c r="F15" s="191"/>
      <c r="H15" s="198"/>
      <c r="I15" s="198"/>
    </row>
    <row r="16" spans="1:20" ht="12" thickBot="1">
      <c r="F16" s="196"/>
    </row>
    <row r="17" spans="1:20" ht="13.2">
      <c r="A17" s="158"/>
      <c r="B17" s="158" t="s">
        <v>421</v>
      </c>
      <c r="C17" s="130"/>
      <c r="D17" s="130"/>
      <c r="E17" s="130"/>
      <c r="F17" s="180"/>
      <c r="G17" s="180"/>
      <c r="H17" s="180"/>
      <c r="I17" s="180"/>
      <c r="J17" s="180"/>
      <c r="K17" s="180"/>
      <c r="L17" s="180"/>
      <c r="M17" s="180"/>
      <c r="N17" s="279"/>
    </row>
    <row r="18" spans="1:20" ht="13.2">
      <c r="A18" s="152" t="s">
        <v>32</v>
      </c>
      <c r="B18" s="271" t="s">
        <v>37</v>
      </c>
      <c r="C18" s="272" t="s">
        <v>31</v>
      </c>
      <c r="D18" s="280" t="s">
        <v>49</v>
      </c>
      <c r="E18" s="280"/>
      <c r="F18" s="175" t="s">
        <v>84</v>
      </c>
      <c r="G18" s="175" t="s">
        <v>242</v>
      </c>
      <c r="H18" s="274" t="s">
        <v>242</v>
      </c>
      <c r="I18" s="274"/>
      <c r="J18" s="176"/>
      <c r="K18" s="274"/>
      <c r="L18" s="175" t="s">
        <v>88</v>
      </c>
      <c r="M18" s="275" t="s">
        <v>89</v>
      </c>
      <c r="N18" s="366" t="s">
        <v>22</v>
      </c>
    </row>
    <row r="19" spans="1:20" ht="13.2">
      <c r="A19" s="152" t="s">
        <v>48</v>
      </c>
      <c r="B19" s="277"/>
      <c r="C19" s="272"/>
      <c r="D19" s="280"/>
      <c r="E19" s="280"/>
      <c r="F19" s="175" t="s">
        <v>55</v>
      </c>
      <c r="G19" s="175" t="s">
        <v>55</v>
      </c>
      <c r="H19" s="274" t="s">
        <v>9</v>
      </c>
      <c r="I19" s="274"/>
      <c r="J19" s="176"/>
      <c r="K19" s="274" t="s">
        <v>18</v>
      </c>
      <c r="L19" s="175" t="s">
        <v>55</v>
      </c>
      <c r="M19" s="275" t="s">
        <v>90</v>
      </c>
      <c r="N19" s="366" t="s">
        <v>5</v>
      </c>
    </row>
    <row r="20" spans="1:20" ht="13.8" thickBot="1">
      <c r="A20" s="153" t="s">
        <v>17</v>
      </c>
      <c r="B20" s="154"/>
      <c r="C20" s="155"/>
      <c r="D20" s="157"/>
      <c r="E20" s="157"/>
      <c r="F20" s="177"/>
      <c r="G20" s="177"/>
      <c r="H20" s="178"/>
      <c r="I20" s="178"/>
      <c r="J20" s="181"/>
      <c r="K20" s="178"/>
      <c r="L20" s="177"/>
      <c r="M20" s="177"/>
      <c r="N20" s="367" t="s">
        <v>9</v>
      </c>
    </row>
    <row r="21" spans="1:20" s="1" customFormat="1" ht="12">
      <c r="A21" s="136"/>
      <c r="F21" s="9"/>
      <c r="G21" s="9"/>
      <c r="H21" s="3"/>
      <c r="J21" s="9"/>
      <c r="L21" s="9"/>
      <c r="M21" s="9"/>
      <c r="O21" s="13"/>
      <c r="P21" s="13"/>
      <c r="Q21" s="11"/>
    </row>
    <row r="22" spans="1:20" ht="12" thickBot="1"/>
    <row r="23" spans="1:20" ht="12.6" thickBot="1">
      <c r="D23" s="194" t="s">
        <v>241</v>
      </c>
      <c r="E23" s="195"/>
      <c r="F23" s="197"/>
    </row>
    <row r="24" spans="1:20">
      <c r="F24" s="321"/>
    </row>
    <row r="25" spans="1:20" ht="12" thickBot="1"/>
    <row r="26" spans="1:20" ht="13.2">
      <c r="A26" s="158"/>
      <c r="B26" s="158" t="s">
        <v>422</v>
      </c>
      <c r="C26" s="130"/>
      <c r="D26" s="130"/>
      <c r="E26" s="130"/>
      <c r="F26" s="180"/>
      <c r="G26" s="180"/>
      <c r="H26" s="180"/>
      <c r="I26" s="180"/>
      <c r="J26" s="180"/>
      <c r="K26" s="180"/>
      <c r="L26" s="180"/>
      <c r="M26" s="180"/>
      <c r="N26" s="279"/>
    </row>
    <row r="27" spans="1:20" ht="13.2">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row>
    <row r="31" spans="1:20" ht="12">
      <c r="A31" s="13"/>
      <c r="B31" s="13"/>
      <c r="C31" s="13"/>
      <c r="D31" s="13"/>
      <c r="E31" s="13"/>
      <c r="F31" s="286"/>
      <c r="G31" s="184"/>
      <c r="H31" s="184"/>
      <c r="I31" s="184"/>
      <c r="J31" s="184"/>
      <c r="K31" s="184"/>
      <c r="M31" s="202"/>
      <c r="N31" s="151"/>
    </row>
    <row r="32" spans="1:20" ht="12">
      <c r="F32" s="184"/>
      <c r="G32" s="184"/>
      <c r="H32" s="184"/>
      <c r="I32" s="184"/>
      <c r="J32" s="192">
        <f>SUM(J31:J31)</f>
        <v>0</v>
      </c>
      <c r="K32" s="402"/>
      <c r="L32" s="192">
        <f>SUM(L31:L31)</f>
        <v>0</v>
      </c>
      <c r="M32" s="192">
        <f>SUM(M31:M31)</f>
        <v>0</v>
      </c>
      <c r="N32" s="151"/>
      <c r="T32" s="322">
        <f>SUM(T31:T31)</f>
        <v>0</v>
      </c>
    </row>
    <row r="33" spans="1:20" ht="12.6" thickBot="1">
      <c r="F33" s="184"/>
      <c r="G33" s="184"/>
      <c r="H33" s="184"/>
      <c r="I33" s="184"/>
      <c r="J33" s="184"/>
      <c r="K33" s="184"/>
      <c r="N33" s="151"/>
    </row>
    <row r="34" spans="1:20" ht="12">
      <c r="A34" s="168" t="s">
        <v>94</v>
      </c>
      <c r="F34" s="184"/>
      <c r="G34" s="187"/>
      <c r="H34" s="151"/>
      <c r="I34" s="184"/>
      <c r="J34" s="184"/>
      <c r="K34" s="287"/>
      <c r="N34" s="151"/>
    </row>
    <row r="35" spans="1:20" s="185" customFormat="1" ht="12">
      <c r="A35" s="13"/>
      <c r="B35" s="13"/>
      <c r="C35" s="13"/>
      <c r="D35" s="36"/>
      <c r="E35" s="36"/>
      <c r="F35" s="286"/>
      <c r="G35" s="123"/>
      <c r="H35" s="7"/>
      <c r="I35" s="183"/>
      <c r="J35" s="123"/>
      <c r="K35" s="183"/>
      <c r="L35" s="32"/>
      <c r="M35" s="123"/>
      <c r="N35" s="183"/>
      <c r="T35" s="62"/>
    </row>
    <row r="36" spans="1:20" ht="12">
      <c r="A36" s="5"/>
      <c r="B36" s="5"/>
      <c r="C36" s="5"/>
      <c r="D36" s="26"/>
      <c r="E36" s="26"/>
      <c r="F36" s="341"/>
      <c r="G36" s="71"/>
      <c r="H36" s="3"/>
      <c r="I36" s="3"/>
      <c r="J36" s="77">
        <f>SUM(J35:J35)</f>
        <v>0</v>
      </c>
      <c r="K36" s="7"/>
      <c r="L36" s="77">
        <f>SUM(L35:L35)</f>
        <v>0</v>
      </c>
      <c r="M36" s="77">
        <f>SUM(M35:M35)</f>
        <v>0</v>
      </c>
      <c r="N36" s="151"/>
      <c r="T36" s="77">
        <f>SUM(T35:T35)</f>
        <v>0</v>
      </c>
    </row>
    <row r="37" spans="1:20" ht="12.6" thickBot="1">
      <c r="F37" s="184"/>
      <c r="G37" s="184"/>
      <c r="H37" s="184"/>
      <c r="I37" s="184"/>
      <c r="J37" s="184"/>
      <c r="K37" s="184"/>
      <c r="N37" s="151"/>
    </row>
    <row r="38" spans="1:20" ht="12">
      <c r="A38" s="168" t="s">
        <v>60</v>
      </c>
      <c r="F38" s="184"/>
      <c r="G38" s="187"/>
      <c r="H38" s="151"/>
      <c r="I38" s="184"/>
      <c r="J38" s="184"/>
      <c r="K38" s="184"/>
      <c r="N38" s="151"/>
    </row>
    <row r="39" spans="1:20" ht="12">
      <c r="N39" s="151"/>
    </row>
    <row r="40" spans="1:20" ht="12">
      <c r="I40" s="196"/>
      <c r="J40" s="338">
        <f>SUM(J39:J39)</f>
        <v>0</v>
      </c>
      <c r="K40" s="185"/>
      <c r="L40" s="77">
        <f>SUM(L39:L39)</f>
        <v>0</v>
      </c>
      <c r="M40" s="77">
        <f>SUM(M39:M39)</f>
        <v>0</v>
      </c>
      <c r="N40" s="151"/>
      <c r="T40" s="77">
        <f>SUM(T39:T39)</f>
        <v>0</v>
      </c>
    </row>
    <row r="41" spans="1:20" ht="12">
      <c r="I41" s="196"/>
      <c r="N41" s="151"/>
    </row>
    <row r="43" spans="1:20" ht="12.6" thickBot="1">
      <c r="J43" s="339">
        <f>J11+J32+J36+J40</f>
        <v>0</v>
      </c>
      <c r="M43" s="339">
        <f>M40+M36+M32+F14</f>
        <v>0</v>
      </c>
      <c r="O43" s="263"/>
      <c r="P43" s="263"/>
      <c r="Q43" s="263"/>
      <c r="R43" s="263"/>
      <c r="T43" s="337">
        <f>T40+T36+T32+T14</f>
        <v>0</v>
      </c>
    </row>
    <row r="44" spans="1:20" ht="12" thickTop="1">
      <c r="M44" s="196"/>
    </row>
    <row r="46" spans="1:20">
      <c r="H46" s="198"/>
    </row>
    <row r="47" spans="1:20">
      <c r="H47" s="198"/>
    </row>
    <row r="48" spans="1:20" ht="12">
      <c r="A48" s="13"/>
      <c r="B48" s="13"/>
      <c r="C48" s="13"/>
      <c r="D48" s="36"/>
      <c r="E48" s="36"/>
      <c r="F48" s="409"/>
      <c r="G48" s="286"/>
      <c r="H48" s="11"/>
      <c r="I48" s="11"/>
      <c r="J48" s="286"/>
      <c r="K48"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504</v>
      </c>
      <c r="E7" s="89" t="s">
        <v>374</v>
      </c>
      <c r="F7" s="88" t="s">
        <v>375</v>
      </c>
      <c r="G7" s="88" t="s">
        <v>376</v>
      </c>
      <c r="H7" s="509">
        <v>37000000</v>
      </c>
      <c r="I7" s="509">
        <f>H7</f>
        <v>37000000</v>
      </c>
      <c r="J7" s="91">
        <v>44595</v>
      </c>
      <c r="K7" s="91">
        <f>J7+35</f>
        <v>44630</v>
      </c>
      <c r="L7" s="509">
        <v>37000000</v>
      </c>
      <c r="M7" s="91">
        <f>J7+180</f>
        <v>44775</v>
      </c>
      <c r="N7" s="509"/>
      <c r="O7" s="509"/>
      <c r="P7" s="91"/>
      <c r="Q7" s="89" t="s">
        <v>255</v>
      </c>
      <c r="R7" s="512"/>
      <c r="S7" s="510" t="s">
        <v>535</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374</v>
      </c>
      <c r="F16" s="13" t="s">
        <v>94</v>
      </c>
      <c r="G16" s="503">
        <v>37000000</v>
      </c>
      <c r="H16" s="498" t="s">
        <v>533</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87"/>
  <sheetViews>
    <sheetView zoomScaleNormal="100" workbookViewId="0">
      <pane ySplit="6" topLeftCell="A29" activePane="bottomLeft" state="frozen"/>
      <selection pane="bottomLeft" activeCell="H55" sqref="H55"/>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9"/>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9" customFormat="1">
      <c r="A7" s="439">
        <v>1</v>
      </c>
      <c r="B7" s="439">
        <v>1</v>
      </c>
      <c r="C7" s="439">
        <v>5466</v>
      </c>
      <c r="D7" s="439" t="s">
        <v>315</v>
      </c>
      <c r="E7" s="439" t="s">
        <v>469</v>
      </c>
      <c r="F7" s="493" t="s">
        <v>470</v>
      </c>
      <c r="G7" s="493" t="s">
        <v>471</v>
      </c>
      <c r="H7" s="419">
        <v>100000000</v>
      </c>
      <c r="I7" s="419">
        <f>H7</f>
        <v>100000000</v>
      </c>
      <c r="J7" s="494">
        <v>44589</v>
      </c>
      <c r="K7" s="494">
        <f>J7+35</f>
        <v>44624</v>
      </c>
      <c r="L7" s="346">
        <v>0</v>
      </c>
      <c r="M7" s="494">
        <f>J7+150</f>
        <v>44739</v>
      </c>
      <c r="N7" s="346"/>
      <c r="O7" s="346">
        <f>I7-L7</f>
        <v>100000000</v>
      </c>
      <c r="P7" s="494">
        <v>44625</v>
      </c>
      <c r="Q7" s="439" t="s">
        <v>146</v>
      </c>
      <c r="R7" s="441"/>
    </row>
    <row r="8" spans="1:22" s="13" customFormat="1">
      <c r="A8" s="13">
        <v>4</v>
      </c>
      <c r="B8" s="13">
        <v>8</v>
      </c>
      <c r="C8" s="13" t="s">
        <v>460</v>
      </c>
      <c r="D8" s="13" t="s">
        <v>315</v>
      </c>
      <c r="E8" s="13" t="s">
        <v>152</v>
      </c>
      <c r="F8" s="36" t="s">
        <v>472</v>
      </c>
      <c r="G8" s="36" t="s">
        <v>81</v>
      </c>
      <c r="H8" s="409">
        <v>0</v>
      </c>
      <c r="I8" s="409"/>
      <c r="J8" s="11"/>
      <c r="K8" s="11"/>
      <c r="L8" s="286"/>
      <c r="M8" s="11"/>
      <c r="N8" s="286"/>
      <c r="O8" s="286"/>
      <c r="P8" s="11"/>
      <c r="Q8" s="13" t="s">
        <v>206</v>
      </c>
      <c r="R8" s="92" t="s">
        <v>525</v>
      </c>
    </row>
    <row r="9" spans="1:22" s="13" customFormat="1">
      <c r="A9" s="13">
        <v>5</v>
      </c>
      <c r="B9" s="13">
        <v>9</v>
      </c>
      <c r="C9" s="13">
        <v>5467</v>
      </c>
      <c r="D9" s="13" t="s">
        <v>316</v>
      </c>
      <c r="E9" s="13" t="s">
        <v>152</v>
      </c>
      <c r="F9" s="36" t="s">
        <v>361</v>
      </c>
      <c r="G9" s="36" t="s">
        <v>81</v>
      </c>
      <c r="H9" s="409">
        <v>15000000</v>
      </c>
      <c r="I9" s="409">
        <f>H9</f>
        <v>15000000</v>
      </c>
      <c r="J9" s="11">
        <v>44589</v>
      </c>
      <c r="K9" s="11">
        <f>J9+35</f>
        <v>44624</v>
      </c>
      <c r="L9" s="409">
        <v>12000000</v>
      </c>
      <c r="M9" s="11">
        <f>J9+180</f>
        <v>44769</v>
      </c>
      <c r="N9" s="342">
        <v>0</v>
      </c>
      <c r="O9" s="286">
        <f>I9-N9</f>
        <v>15000000</v>
      </c>
      <c r="P9" s="11">
        <v>44623</v>
      </c>
      <c r="Q9" s="13" t="s">
        <v>207</v>
      </c>
      <c r="R9" s="538" t="s">
        <v>518</v>
      </c>
      <c r="S9" s="439" t="s">
        <v>526</v>
      </c>
    </row>
    <row r="10" spans="1:22" s="5" customFormat="1" ht="11.4">
      <c r="A10" s="5">
        <v>6</v>
      </c>
      <c r="B10" s="5">
        <v>10</v>
      </c>
      <c r="C10" s="5">
        <v>5476</v>
      </c>
      <c r="D10" s="5" t="s">
        <v>504</v>
      </c>
      <c r="E10" s="5" t="s">
        <v>160</v>
      </c>
      <c r="F10" s="26" t="s">
        <v>299</v>
      </c>
      <c r="G10" s="26" t="s">
        <v>80</v>
      </c>
      <c r="H10" s="344">
        <v>12000000</v>
      </c>
      <c r="I10" s="344">
        <f>H10</f>
        <v>12000000</v>
      </c>
      <c r="J10" s="6">
        <v>44595</v>
      </c>
      <c r="K10" s="6">
        <f>J10+35</f>
        <v>44630</v>
      </c>
      <c r="L10" s="341">
        <v>12000000</v>
      </c>
      <c r="M10" s="6">
        <f>J10+180</f>
        <v>44775</v>
      </c>
      <c r="N10" s="341"/>
      <c r="O10" s="341"/>
      <c r="P10" s="6"/>
      <c r="Q10" s="5" t="s">
        <v>207</v>
      </c>
      <c r="R10" s="502" t="s">
        <v>540</v>
      </c>
    </row>
    <row r="11" spans="1:22" s="13" customFormat="1">
      <c r="A11" s="13">
        <v>8</v>
      </c>
      <c r="B11" s="13">
        <v>14</v>
      </c>
      <c r="C11" s="13">
        <v>5468</v>
      </c>
      <c r="D11" s="13" t="s">
        <v>316</v>
      </c>
      <c r="E11" s="13" t="s">
        <v>473</v>
      </c>
      <c r="F11" s="36" t="s">
        <v>474</v>
      </c>
      <c r="G11" s="36" t="s">
        <v>81</v>
      </c>
      <c r="H11" s="409">
        <v>30000000</v>
      </c>
      <c r="I11" s="409">
        <f>H11</f>
        <v>30000000</v>
      </c>
      <c r="J11" s="11">
        <v>44589</v>
      </c>
      <c r="K11" s="11">
        <f>J11+35</f>
        <v>44624</v>
      </c>
      <c r="L11" s="286">
        <v>30000000</v>
      </c>
      <c r="M11" s="11">
        <f>J11+180</f>
        <v>44769</v>
      </c>
      <c r="N11" s="286">
        <v>0</v>
      </c>
      <c r="O11" s="286">
        <f>L11-N11</f>
        <v>30000000</v>
      </c>
      <c r="P11" s="11">
        <v>44625</v>
      </c>
      <c r="Q11" s="13" t="s">
        <v>206</v>
      </c>
      <c r="R11" s="92" t="s">
        <v>517</v>
      </c>
      <c r="S11" s="439" t="s">
        <v>527</v>
      </c>
    </row>
    <row r="12" spans="1:22" s="13" customFormat="1">
      <c r="A12" s="13">
        <v>10</v>
      </c>
      <c r="B12" s="13">
        <v>16</v>
      </c>
      <c r="C12" s="13" t="s">
        <v>461</v>
      </c>
      <c r="D12" s="13" t="s">
        <v>315</v>
      </c>
      <c r="E12" s="13" t="s">
        <v>260</v>
      </c>
      <c r="F12" s="36" t="s">
        <v>475</v>
      </c>
      <c r="G12" s="36" t="s">
        <v>79</v>
      </c>
      <c r="H12" s="409">
        <v>0</v>
      </c>
      <c r="I12" s="409"/>
      <c r="J12" s="11"/>
      <c r="K12" s="11"/>
      <c r="L12" s="286"/>
      <c r="M12" s="11"/>
      <c r="N12" s="286"/>
      <c r="O12" s="286"/>
      <c r="P12" s="11"/>
      <c r="Q12" s="13" t="s">
        <v>247</v>
      </c>
      <c r="R12" s="92" t="s">
        <v>537</v>
      </c>
    </row>
    <row r="13" spans="1:22" s="13" customFormat="1">
      <c r="A13" s="13">
        <v>11</v>
      </c>
      <c r="B13" s="13">
        <v>17</v>
      </c>
      <c r="C13" s="13" t="s">
        <v>462</v>
      </c>
      <c r="D13" s="13" t="s">
        <v>315</v>
      </c>
      <c r="E13" s="13" t="s">
        <v>286</v>
      </c>
      <c r="F13" s="36" t="s">
        <v>476</v>
      </c>
      <c r="G13" s="36" t="s">
        <v>80</v>
      </c>
      <c r="H13" s="409">
        <v>0</v>
      </c>
      <c r="I13" s="409"/>
      <c r="J13" s="11"/>
      <c r="K13" s="11"/>
      <c r="L13" s="286"/>
      <c r="M13" s="11"/>
      <c r="N13" s="286"/>
      <c r="O13" s="286"/>
      <c r="P13" s="11"/>
      <c r="Q13" s="13" t="s">
        <v>247</v>
      </c>
      <c r="R13" s="92" t="s">
        <v>537</v>
      </c>
    </row>
    <row r="14" spans="1:22" s="439" customFormat="1">
      <c r="A14" s="439">
        <v>12</v>
      </c>
      <c r="B14" s="439">
        <v>12</v>
      </c>
      <c r="C14" s="439" t="s">
        <v>463</v>
      </c>
      <c r="D14" s="439" t="s">
        <v>315</v>
      </c>
      <c r="E14" s="439" t="s">
        <v>300</v>
      </c>
      <c r="F14" s="493" t="s">
        <v>352</v>
      </c>
      <c r="G14" s="493" t="s">
        <v>151</v>
      </c>
      <c r="H14" s="419">
        <v>0</v>
      </c>
      <c r="I14" s="346"/>
      <c r="J14" s="494"/>
      <c r="K14" s="494"/>
      <c r="L14" s="346"/>
      <c r="M14" s="494"/>
      <c r="N14" s="346"/>
      <c r="O14" s="346"/>
      <c r="P14" s="494"/>
      <c r="Q14" s="439" t="s">
        <v>146</v>
      </c>
      <c r="R14" s="441"/>
    </row>
    <row r="15" spans="1:22" s="5" customFormat="1" ht="11.4">
      <c r="A15" s="5">
        <v>17</v>
      </c>
      <c r="B15" s="5">
        <v>23</v>
      </c>
      <c r="C15" s="5">
        <v>5477</v>
      </c>
      <c r="D15" s="5" t="s">
        <v>504</v>
      </c>
      <c r="E15" s="5" t="s">
        <v>152</v>
      </c>
      <c r="F15" s="26" t="s">
        <v>357</v>
      </c>
      <c r="G15" s="26" t="s">
        <v>81</v>
      </c>
      <c r="H15" s="344">
        <v>45000000</v>
      </c>
      <c r="I15" s="344">
        <f>H15</f>
        <v>45000000</v>
      </c>
      <c r="J15" s="6">
        <v>44595</v>
      </c>
      <c r="K15" s="6">
        <f>J15+35</f>
        <v>44630</v>
      </c>
      <c r="L15" s="341">
        <v>45000000</v>
      </c>
      <c r="M15" s="6">
        <f>J15+180</f>
        <v>44775</v>
      </c>
      <c r="N15" s="341"/>
      <c r="O15" s="341"/>
      <c r="P15" s="6"/>
      <c r="Q15" s="5" t="s">
        <v>247</v>
      </c>
      <c r="R15" s="502" t="s">
        <v>539</v>
      </c>
      <c r="S15" s="371" t="s">
        <v>526</v>
      </c>
    </row>
    <row r="16" spans="1:22" s="371" customFormat="1" ht="11.4">
      <c r="A16" s="371">
        <v>22</v>
      </c>
      <c r="B16" s="371">
        <v>22</v>
      </c>
      <c r="C16" s="371">
        <v>5479</v>
      </c>
      <c r="D16" s="371" t="s">
        <v>504</v>
      </c>
      <c r="E16" s="371" t="s">
        <v>477</v>
      </c>
      <c r="F16" s="513" t="s">
        <v>478</v>
      </c>
      <c r="G16" s="513" t="s">
        <v>479</v>
      </c>
      <c r="H16" s="514">
        <v>20000000</v>
      </c>
      <c r="I16" s="514">
        <f>H16</f>
        <v>20000000</v>
      </c>
      <c r="J16" s="515">
        <v>44596</v>
      </c>
      <c r="K16" s="515">
        <f>J16+35</f>
        <v>44631</v>
      </c>
      <c r="L16" s="516">
        <v>20000000</v>
      </c>
      <c r="M16" s="515">
        <f>J16+150</f>
        <v>44746</v>
      </c>
      <c r="N16" s="516"/>
      <c r="O16" s="516"/>
      <c r="P16" s="515"/>
      <c r="Q16" s="371" t="s">
        <v>146</v>
      </c>
      <c r="R16" s="517"/>
    </row>
    <row r="17" spans="1:19" s="5" customFormat="1" ht="11.4">
      <c r="A17" s="5">
        <v>23</v>
      </c>
      <c r="B17" s="5">
        <v>28</v>
      </c>
      <c r="C17" s="5">
        <v>5480</v>
      </c>
      <c r="D17" s="5" t="s">
        <v>504</v>
      </c>
      <c r="E17" s="5" t="s">
        <v>286</v>
      </c>
      <c r="F17" s="26" t="s">
        <v>480</v>
      </c>
      <c r="G17" s="26" t="s">
        <v>80</v>
      </c>
      <c r="H17" s="344">
        <v>20000000</v>
      </c>
      <c r="I17" s="344">
        <f>H17</f>
        <v>20000000</v>
      </c>
      <c r="J17" s="6">
        <v>44596</v>
      </c>
      <c r="K17" s="6">
        <f>J17+35</f>
        <v>44631</v>
      </c>
      <c r="L17" s="341">
        <v>20000000</v>
      </c>
      <c r="M17" s="6">
        <f>J17+180</f>
        <v>44776</v>
      </c>
      <c r="N17" s="341"/>
      <c r="O17" s="341"/>
      <c r="P17" s="6"/>
      <c r="Q17" s="5" t="s">
        <v>247</v>
      </c>
      <c r="R17" s="502" t="s">
        <v>542</v>
      </c>
    </row>
    <row r="18" spans="1:19" s="5" customFormat="1" ht="11.4">
      <c r="A18" s="5">
        <v>29</v>
      </c>
      <c r="B18" s="5">
        <v>11</v>
      </c>
      <c r="C18" s="5">
        <v>5481</v>
      </c>
      <c r="D18" s="5" t="s">
        <v>504</v>
      </c>
      <c r="E18" s="5" t="s">
        <v>473</v>
      </c>
      <c r="F18" s="26" t="s">
        <v>481</v>
      </c>
      <c r="G18" s="26" t="s">
        <v>81</v>
      </c>
      <c r="H18" s="344">
        <v>40000000</v>
      </c>
      <c r="I18" s="341">
        <f>H18</f>
        <v>40000000</v>
      </c>
      <c r="J18" s="6">
        <v>44596</v>
      </c>
      <c r="K18" s="6">
        <f>J18+35</f>
        <v>44631</v>
      </c>
      <c r="L18" s="341">
        <v>40000000</v>
      </c>
      <c r="M18" s="6">
        <f>J18+180</f>
        <v>44776</v>
      </c>
      <c r="N18" s="518"/>
      <c r="O18" s="341"/>
      <c r="P18" s="6"/>
      <c r="Q18" s="5" t="s">
        <v>226</v>
      </c>
      <c r="R18" s="502" t="s">
        <v>538</v>
      </c>
    </row>
    <row r="19" spans="1:19" s="13" customFormat="1">
      <c r="A19" s="13">
        <v>30</v>
      </c>
      <c r="B19" s="13">
        <v>35</v>
      </c>
      <c r="C19" s="13" t="s">
        <v>464</v>
      </c>
      <c r="D19" s="13" t="s">
        <v>315</v>
      </c>
      <c r="E19" s="13" t="s">
        <v>365</v>
      </c>
      <c r="F19" s="36" t="s">
        <v>482</v>
      </c>
      <c r="G19" s="36" t="s">
        <v>269</v>
      </c>
      <c r="H19" s="409">
        <v>0</v>
      </c>
      <c r="I19" s="409"/>
      <c r="J19" s="11"/>
      <c r="K19" s="11"/>
      <c r="L19" s="286"/>
      <c r="M19" s="11"/>
      <c r="N19" s="286"/>
      <c r="O19" s="286"/>
      <c r="P19" s="11"/>
      <c r="Q19" s="13" t="s">
        <v>247</v>
      </c>
      <c r="R19" s="92" t="s">
        <v>548</v>
      </c>
    </row>
    <row r="20" spans="1:19" s="5" customFormat="1" ht="11.4">
      <c r="A20" s="5">
        <v>31</v>
      </c>
      <c r="B20" s="5">
        <v>36</v>
      </c>
      <c r="C20" s="5">
        <v>5482</v>
      </c>
      <c r="D20" s="5" t="s">
        <v>504</v>
      </c>
      <c r="E20" s="5" t="s">
        <v>286</v>
      </c>
      <c r="F20" s="26" t="s">
        <v>483</v>
      </c>
      <c r="G20" s="26" t="s">
        <v>80</v>
      </c>
      <c r="H20" s="344">
        <v>20000000</v>
      </c>
      <c r="I20" s="341">
        <f>H20</f>
        <v>20000000</v>
      </c>
      <c r="J20" s="6">
        <v>44596</v>
      </c>
      <c r="K20" s="6">
        <f>J20+35</f>
        <v>44631</v>
      </c>
      <c r="L20" s="341">
        <v>20000000</v>
      </c>
      <c r="M20" s="6">
        <f>J20+180</f>
        <v>44776</v>
      </c>
      <c r="N20" s="341"/>
      <c r="O20" s="341"/>
      <c r="P20" s="6"/>
      <c r="Q20" s="5" t="s">
        <v>247</v>
      </c>
      <c r="R20" s="502" t="s">
        <v>542</v>
      </c>
    </row>
    <row r="21" spans="1:19" s="371" customFormat="1" ht="11.4">
      <c r="A21" s="371">
        <v>32</v>
      </c>
      <c r="B21" s="371">
        <v>32</v>
      </c>
      <c r="C21" s="371">
        <v>5483</v>
      </c>
      <c r="D21" s="371" t="s">
        <v>504</v>
      </c>
      <c r="E21" s="371" t="s">
        <v>83</v>
      </c>
      <c r="F21" s="513" t="s">
        <v>484</v>
      </c>
      <c r="G21" s="513" t="s">
        <v>220</v>
      </c>
      <c r="H21" s="514">
        <v>145548078</v>
      </c>
      <c r="I21" s="516">
        <f>H21</f>
        <v>145548078</v>
      </c>
      <c r="J21" s="515">
        <v>44596</v>
      </c>
      <c r="K21" s="515">
        <f>J21+35</f>
        <v>44631</v>
      </c>
      <c r="L21" s="516">
        <v>145548078</v>
      </c>
      <c r="M21" s="515">
        <f>J21+150</f>
        <v>44746</v>
      </c>
      <c r="N21" s="520"/>
      <c r="O21" s="516"/>
      <c r="P21" s="515"/>
      <c r="Q21" s="371" t="s">
        <v>146</v>
      </c>
      <c r="R21" s="517"/>
    </row>
    <row r="22" spans="1:19" s="13" customFormat="1">
      <c r="A22" s="13">
        <v>33</v>
      </c>
      <c r="B22" s="13">
        <v>37</v>
      </c>
      <c r="C22" s="13" t="s">
        <v>465</v>
      </c>
      <c r="D22" s="13" t="s">
        <v>315</v>
      </c>
      <c r="E22" s="13" t="s">
        <v>260</v>
      </c>
      <c r="F22" s="36" t="s">
        <v>410</v>
      </c>
      <c r="G22" s="36" t="s">
        <v>79</v>
      </c>
      <c r="H22" s="409">
        <v>0</v>
      </c>
      <c r="I22" s="286"/>
      <c r="J22" s="11"/>
      <c r="K22" s="11"/>
      <c r="L22" s="286"/>
      <c r="M22" s="11"/>
      <c r="N22" s="286"/>
      <c r="O22" s="286"/>
      <c r="P22" s="11"/>
      <c r="Q22" s="13" t="s">
        <v>247</v>
      </c>
      <c r="R22" s="92" t="s">
        <v>530</v>
      </c>
    </row>
    <row r="23" spans="1:19" s="13" customFormat="1">
      <c r="A23" s="13">
        <v>37</v>
      </c>
      <c r="B23" s="13">
        <v>41</v>
      </c>
      <c r="C23" s="13" t="s">
        <v>466</v>
      </c>
      <c r="D23" s="13" t="s">
        <v>315</v>
      </c>
      <c r="E23" s="13" t="s">
        <v>286</v>
      </c>
      <c r="F23" s="36" t="s">
        <v>485</v>
      </c>
      <c r="G23" s="36" t="s">
        <v>80</v>
      </c>
      <c r="H23" s="409">
        <v>0</v>
      </c>
      <c r="I23" s="286"/>
      <c r="J23" s="11"/>
      <c r="K23" s="11"/>
      <c r="L23" s="286"/>
      <c r="M23" s="11"/>
      <c r="N23" s="286"/>
      <c r="O23" s="286"/>
      <c r="P23" s="11"/>
      <c r="Q23" s="13" t="s">
        <v>255</v>
      </c>
      <c r="R23" s="92"/>
    </row>
    <row r="24" spans="1:19" s="13" customFormat="1">
      <c r="A24" s="13">
        <v>38</v>
      </c>
      <c r="B24" s="13">
        <v>3</v>
      </c>
      <c r="C24" s="13" t="s">
        <v>467</v>
      </c>
      <c r="D24" s="13" t="s">
        <v>315</v>
      </c>
      <c r="E24" s="13" t="s">
        <v>152</v>
      </c>
      <c r="F24" s="36" t="s">
        <v>486</v>
      </c>
      <c r="G24" s="36" t="s">
        <v>81</v>
      </c>
      <c r="H24" s="409">
        <v>0</v>
      </c>
      <c r="I24" s="409"/>
      <c r="J24" s="11"/>
      <c r="K24" s="11"/>
      <c r="L24" s="286"/>
      <c r="M24" s="11"/>
      <c r="N24" s="286"/>
      <c r="O24" s="286"/>
      <c r="P24" s="11"/>
      <c r="Q24" s="13" t="s">
        <v>227</v>
      </c>
      <c r="R24" s="92"/>
    </row>
    <row r="25" spans="1:19" s="13" customFormat="1">
      <c r="A25" s="13">
        <v>39</v>
      </c>
      <c r="B25" s="13">
        <v>42</v>
      </c>
      <c r="C25" s="13">
        <v>5486</v>
      </c>
      <c r="D25" s="13" t="s">
        <v>315</v>
      </c>
      <c r="E25" s="13" t="s">
        <v>157</v>
      </c>
      <c r="F25" s="36" t="s">
        <v>487</v>
      </c>
      <c r="G25" s="36" t="s">
        <v>298</v>
      </c>
      <c r="H25" s="409">
        <v>12800000</v>
      </c>
      <c r="I25" s="409">
        <f>H25</f>
        <v>12800000</v>
      </c>
      <c r="J25" s="11">
        <v>44597</v>
      </c>
      <c r="K25" s="11">
        <f>J25+35</f>
        <v>44632</v>
      </c>
      <c r="L25" s="286">
        <v>0</v>
      </c>
      <c r="M25" s="11">
        <f>J25+180</f>
        <v>44777</v>
      </c>
      <c r="N25" s="286"/>
      <c r="O25" s="286">
        <f>I25-N25</f>
        <v>12800000</v>
      </c>
      <c r="P25" s="11">
        <v>44623</v>
      </c>
      <c r="Q25" s="13" t="s">
        <v>255</v>
      </c>
      <c r="R25" s="92"/>
      <c r="S25" s="439" t="s">
        <v>551</v>
      </c>
    </row>
    <row r="26" spans="1:19" s="13" customFormat="1">
      <c r="A26" s="13">
        <v>40</v>
      </c>
      <c r="B26" s="13">
        <v>43</v>
      </c>
      <c r="C26" s="13">
        <v>5487</v>
      </c>
      <c r="D26" s="13" t="s">
        <v>315</v>
      </c>
      <c r="E26" s="13" t="s">
        <v>152</v>
      </c>
      <c r="F26" s="36" t="s">
        <v>488</v>
      </c>
      <c r="G26" s="36" t="s">
        <v>81</v>
      </c>
      <c r="H26" s="409">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315</v>
      </c>
      <c r="E27" s="13" t="s">
        <v>473</v>
      </c>
      <c r="F27" s="36" t="s">
        <v>489</v>
      </c>
      <c r="G27" s="36" t="s">
        <v>81</v>
      </c>
      <c r="H27" s="409">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504</v>
      </c>
      <c r="E28" s="5" t="s">
        <v>152</v>
      </c>
      <c r="F28" s="26" t="s">
        <v>490</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468</v>
      </c>
      <c r="D29" s="13" t="s">
        <v>315</v>
      </c>
      <c r="E29" s="13" t="s">
        <v>286</v>
      </c>
      <c r="F29" s="36" t="s">
        <v>491</v>
      </c>
      <c r="G29" s="36" t="s">
        <v>210</v>
      </c>
      <c r="H29" s="409">
        <v>0</v>
      </c>
      <c r="I29" s="409"/>
      <c r="J29" s="11"/>
      <c r="K29" s="11"/>
      <c r="L29" s="286"/>
      <c r="M29" s="11"/>
      <c r="N29" s="286"/>
      <c r="O29" s="286"/>
      <c r="P29" s="11"/>
      <c r="Q29" s="13" t="s">
        <v>255</v>
      </c>
      <c r="R29" s="92"/>
    </row>
    <row r="30" spans="1:19" s="439" customFormat="1">
      <c r="A30" s="439">
        <v>48</v>
      </c>
      <c r="B30" s="439">
        <v>48</v>
      </c>
      <c r="C30" s="439">
        <v>5492</v>
      </c>
      <c r="D30" s="439" t="s">
        <v>315</v>
      </c>
      <c r="E30" s="439" t="s">
        <v>216</v>
      </c>
      <c r="F30" s="493" t="s">
        <v>217</v>
      </c>
      <c r="G30" s="493" t="s">
        <v>218</v>
      </c>
      <c r="H30" s="419">
        <v>90000000</v>
      </c>
      <c r="I30" s="419">
        <f t="shared" ref="I30:I41" si="0">H30</f>
        <v>90000000</v>
      </c>
      <c r="J30" s="494">
        <v>44601</v>
      </c>
      <c r="K30" s="494">
        <f t="shared" ref="K30:K49" si="1">J30+35</f>
        <v>44636</v>
      </c>
      <c r="L30" s="346">
        <v>0</v>
      </c>
      <c r="M30" s="494">
        <f>J30+150</f>
        <v>44751</v>
      </c>
      <c r="N30" s="346"/>
      <c r="O30" s="346">
        <f>I30-L30</f>
        <v>90000000</v>
      </c>
      <c r="P30" s="494">
        <v>44639</v>
      </c>
      <c r="Q30" s="439" t="s">
        <v>146</v>
      </c>
      <c r="R30" s="441"/>
    </row>
    <row r="31" spans="1:19" s="13" customFormat="1">
      <c r="A31" s="13">
        <v>49</v>
      </c>
      <c r="B31" s="13">
        <v>49</v>
      </c>
      <c r="C31" s="13">
        <v>5493</v>
      </c>
      <c r="D31" s="13" t="s">
        <v>315</v>
      </c>
      <c r="E31" s="13" t="s">
        <v>260</v>
      </c>
      <c r="F31" s="36" t="s">
        <v>492</v>
      </c>
      <c r="G31" s="36" t="s">
        <v>79</v>
      </c>
      <c r="H31" s="409">
        <v>55000000</v>
      </c>
      <c r="I31" s="409">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504</v>
      </c>
      <c r="E32" s="5" t="s">
        <v>152</v>
      </c>
      <c r="F32" s="26" t="s">
        <v>493</v>
      </c>
      <c r="G32" s="26" t="s">
        <v>81</v>
      </c>
      <c r="H32" s="344">
        <v>40000000</v>
      </c>
      <c r="I32" s="344">
        <f t="shared" si="0"/>
        <v>40000000</v>
      </c>
      <c r="J32" s="6">
        <v>44601</v>
      </c>
      <c r="K32" s="6">
        <f t="shared" si="1"/>
        <v>44636</v>
      </c>
      <c r="L32" s="341">
        <v>40000000</v>
      </c>
      <c r="M32" s="6">
        <f>J32+180</f>
        <v>44781</v>
      </c>
      <c r="N32" s="341"/>
      <c r="O32" s="341"/>
      <c r="P32" s="6"/>
      <c r="Q32" s="5" t="s">
        <v>255</v>
      </c>
      <c r="R32" s="141"/>
    </row>
    <row r="33" spans="1:19" s="5" customFormat="1" ht="11.4">
      <c r="A33" s="5">
        <v>53</v>
      </c>
      <c r="B33" s="5">
        <v>53</v>
      </c>
      <c r="C33" s="5">
        <v>5495</v>
      </c>
      <c r="D33" s="5" t="s">
        <v>504</v>
      </c>
      <c r="E33" s="5" t="s">
        <v>473</v>
      </c>
      <c r="F33" s="26" t="s">
        <v>400</v>
      </c>
      <c r="G33" s="26" t="s">
        <v>81</v>
      </c>
      <c r="H33" s="344">
        <v>50000000</v>
      </c>
      <c r="I33" s="344">
        <f t="shared" si="0"/>
        <v>50000000</v>
      </c>
      <c r="J33" s="6">
        <v>44601</v>
      </c>
      <c r="K33" s="6">
        <f t="shared" si="1"/>
        <v>44636</v>
      </c>
      <c r="L33" s="341">
        <v>50000000</v>
      </c>
      <c r="M33" s="6">
        <f>J33+180</f>
        <v>44781</v>
      </c>
      <c r="N33" s="341"/>
      <c r="O33" s="341"/>
      <c r="P33" s="6"/>
      <c r="Q33" s="5" t="s">
        <v>255</v>
      </c>
      <c r="R33" s="141"/>
    </row>
    <row r="34" spans="1:19" s="371" customFormat="1" ht="11.4">
      <c r="A34" s="371">
        <v>55</v>
      </c>
      <c r="B34" s="371">
        <v>55</v>
      </c>
      <c r="C34" s="371">
        <v>5496</v>
      </c>
      <c r="D34" s="371" t="s">
        <v>504</v>
      </c>
      <c r="E34" s="371" t="s">
        <v>494</v>
      </c>
      <c r="F34" s="513" t="s">
        <v>495</v>
      </c>
      <c r="G34" s="513" t="s">
        <v>496</v>
      </c>
      <c r="H34" s="514">
        <v>40000000</v>
      </c>
      <c r="I34" s="514">
        <f t="shared" si="0"/>
        <v>40000000</v>
      </c>
      <c r="J34" s="515">
        <v>44602</v>
      </c>
      <c r="K34" s="515">
        <f t="shared" si="1"/>
        <v>44637</v>
      </c>
      <c r="L34" s="516">
        <v>22000000</v>
      </c>
      <c r="M34" s="515">
        <f>J34+150</f>
        <v>44752</v>
      </c>
      <c r="N34" s="516"/>
      <c r="O34" s="516">
        <f>I34-L34</f>
        <v>18000000</v>
      </c>
      <c r="P34" s="515">
        <v>44639</v>
      </c>
      <c r="Q34" s="371" t="s">
        <v>146</v>
      </c>
      <c r="R34" s="517"/>
    </row>
    <row r="35" spans="1:19" s="13" customFormat="1">
      <c r="A35" s="13">
        <v>56</v>
      </c>
      <c r="B35" s="13">
        <v>56</v>
      </c>
      <c r="C35" s="13">
        <v>5497</v>
      </c>
      <c r="D35" s="13" t="s">
        <v>315</v>
      </c>
      <c r="E35" s="13" t="s">
        <v>497</v>
      </c>
      <c r="F35" s="36" t="s">
        <v>498</v>
      </c>
      <c r="G35" s="36" t="s">
        <v>213</v>
      </c>
      <c r="H35" s="409">
        <v>30000000</v>
      </c>
      <c r="I35" s="409">
        <f t="shared" si="0"/>
        <v>30000000</v>
      </c>
      <c r="J35" s="11">
        <v>44602</v>
      </c>
      <c r="K35" s="11">
        <f t="shared" si="1"/>
        <v>44637</v>
      </c>
      <c r="L35" s="286">
        <v>0</v>
      </c>
      <c r="M35" s="11">
        <f>J35+180</f>
        <v>44782</v>
      </c>
      <c r="N35" s="286"/>
      <c r="O35" s="286">
        <f>I35-L35</f>
        <v>30000000</v>
      </c>
      <c r="P35" s="11">
        <v>44639</v>
      </c>
      <c r="Q35" s="13" t="s">
        <v>255</v>
      </c>
      <c r="R35" s="92"/>
    </row>
    <row r="36" spans="1:19" s="5" customFormat="1" ht="11.4">
      <c r="A36" s="5" t="s">
        <v>146</v>
      </c>
      <c r="B36" s="5" t="s">
        <v>146</v>
      </c>
      <c r="C36" s="5">
        <v>5498</v>
      </c>
      <c r="D36" s="5" t="s">
        <v>504</v>
      </c>
      <c r="E36" s="5" t="s">
        <v>214</v>
      </c>
      <c r="F36" s="26" t="s">
        <v>359</v>
      </c>
      <c r="G36" s="26" t="s">
        <v>81</v>
      </c>
      <c r="H36" s="344">
        <v>10000000</v>
      </c>
      <c r="I36" s="344">
        <f t="shared" si="0"/>
        <v>10000000</v>
      </c>
      <c r="J36" s="6">
        <v>44602</v>
      </c>
      <c r="K36" s="6">
        <f t="shared" si="1"/>
        <v>44637</v>
      </c>
      <c r="L36" s="341">
        <v>10000000</v>
      </c>
      <c r="M36" s="6">
        <f>J36+180</f>
        <v>44782</v>
      </c>
      <c r="N36" s="341"/>
      <c r="O36" s="341"/>
      <c r="P36" s="6"/>
      <c r="Q36" s="5">
        <v>0</v>
      </c>
      <c r="R36" s="502" t="s">
        <v>536</v>
      </c>
    </row>
    <row r="37" spans="1:19" s="13" customFormat="1">
      <c r="A37" s="13" t="s">
        <v>146</v>
      </c>
      <c r="B37" s="13" t="s">
        <v>146</v>
      </c>
      <c r="C37" s="13">
        <v>5499</v>
      </c>
      <c r="D37" s="13" t="s">
        <v>315</v>
      </c>
      <c r="E37" s="13" t="s">
        <v>157</v>
      </c>
      <c r="F37" s="36" t="s">
        <v>398</v>
      </c>
      <c r="G37" s="36" t="s">
        <v>399</v>
      </c>
      <c r="H37" s="409">
        <v>20000000</v>
      </c>
      <c r="I37" s="409">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504</v>
      </c>
      <c r="E38" s="371" t="s">
        <v>300</v>
      </c>
      <c r="F38" s="513" t="s">
        <v>352</v>
      </c>
      <c r="G38" s="513" t="s">
        <v>151</v>
      </c>
      <c r="H38" s="514">
        <v>145548078</v>
      </c>
      <c r="I38" s="516">
        <f t="shared" si="0"/>
        <v>145548078</v>
      </c>
      <c r="J38" s="515">
        <v>44602</v>
      </c>
      <c r="K38" s="515">
        <f t="shared" si="1"/>
        <v>44637</v>
      </c>
      <c r="L38" s="516">
        <f>I38</f>
        <v>145548078</v>
      </c>
      <c r="M38" s="515">
        <f>J38+210</f>
        <v>44812</v>
      </c>
      <c r="N38" s="516"/>
      <c r="O38" s="516"/>
      <c r="P38" s="515"/>
      <c r="Q38" s="371" t="s">
        <v>146</v>
      </c>
      <c r="R38" s="517"/>
    </row>
    <row r="39" spans="1:19" s="5" customFormat="1" ht="11.4">
      <c r="A39" s="5" t="s">
        <v>146</v>
      </c>
      <c r="B39" s="5" t="s">
        <v>146</v>
      </c>
      <c r="C39" s="5">
        <v>5501</v>
      </c>
      <c r="D39" s="5" t="s">
        <v>504</v>
      </c>
      <c r="E39" s="5" t="s">
        <v>152</v>
      </c>
      <c r="F39" s="26" t="s">
        <v>499</v>
      </c>
      <c r="G39" s="26" t="s">
        <v>81</v>
      </c>
      <c r="H39" s="344">
        <v>40000000</v>
      </c>
      <c r="I39" s="341">
        <f t="shared" si="0"/>
        <v>40000000</v>
      </c>
      <c r="J39" s="6">
        <v>44602</v>
      </c>
      <c r="K39" s="6">
        <f t="shared" si="1"/>
        <v>44637</v>
      </c>
      <c r="L39" s="341">
        <v>40000000</v>
      </c>
      <c r="M39" s="6">
        <f t="shared" ref="M39:M48" si="2">J39+180</f>
        <v>44782</v>
      </c>
      <c r="N39" s="341"/>
      <c r="O39" s="341"/>
      <c r="P39" s="6"/>
      <c r="Q39" s="5" t="s">
        <v>255</v>
      </c>
      <c r="R39" s="141"/>
    </row>
    <row r="40" spans="1:19" s="5" customFormat="1" ht="11.4">
      <c r="A40" s="5" t="s">
        <v>146</v>
      </c>
      <c r="B40" s="5" t="s">
        <v>146</v>
      </c>
      <c r="C40" s="5">
        <v>5460</v>
      </c>
      <c r="D40" s="5" t="s">
        <v>504</v>
      </c>
      <c r="E40" s="5" t="s">
        <v>354</v>
      </c>
      <c r="F40" s="26" t="s">
        <v>355</v>
      </c>
      <c r="G40" s="26" t="s">
        <v>356</v>
      </c>
      <c r="H40" s="344">
        <v>13500000</v>
      </c>
      <c r="I40" s="341">
        <f t="shared" si="0"/>
        <v>13500000</v>
      </c>
      <c r="J40" s="6">
        <v>44581</v>
      </c>
      <c r="K40" s="6">
        <f t="shared" si="1"/>
        <v>44616</v>
      </c>
      <c r="L40" s="341">
        <v>13500000</v>
      </c>
      <c r="M40" s="6">
        <f t="shared" si="2"/>
        <v>44761</v>
      </c>
      <c r="N40" s="341"/>
      <c r="O40" s="341"/>
      <c r="P40" s="6"/>
      <c r="Q40" s="5" t="s">
        <v>255</v>
      </c>
      <c r="R40" s="141"/>
      <c r="S40" s="371" t="s">
        <v>516</v>
      </c>
    </row>
    <row r="41" spans="1:19" s="5" customFormat="1" ht="11.4">
      <c r="A41" s="5" t="s">
        <v>146</v>
      </c>
      <c r="B41" s="5" t="s">
        <v>146</v>
      </c>
      <c r="C41" s="5">
        <v>5489</v>
      </c>
      <c r="D41" s="5" t="s">
        <v>504</v>
      </c>
      <c r="E41" s="5" t="s">
        <v>308</v>
      </c>
      <c r="F41" s="26" t="s">
        <v>528</v>
      </c>
      <c r="G41" s="26" t="s">
        <v>80</v>
      </c>
      <c r="H41" s="344">
        <v>35000000</v>
      </c>
      <c r="I41" s="341">
        <f t="shared" si="0"/>
        <v>35000000</v>
      </c>
      <c r="J41" s="6">
        <v>44597</v>
      </c>
      <c r="K41" s="6">
        <f t="shared" si="1"/>
        <v>44632</v>
      </c>
      <c r="L41" s="341">
        <v>35000000</v>
      </c>
      <c r="M41" s="6">
        <f t="shared" si="2"/>
        <v>44777</v>
      </c>
      <c r="N41" s="341"/>
      <c r="O41" s="341"/>
      <c r="P41" s="6"/>
      <c r="Q41" s="5" t="s">
        <v>206</v>
      </c>
      <c r="R41" s="502" t="s">
        <v>549</v>
      </c>
      <c r="S41" s="371" t="s">
        <v>553</v>
      </c>
    </row>
    <row r="42" spans="1:19" s="5" customFormat="1" ht="11.4">
      <c r="A42" s="5" t="s">
        <v>146</v>
      </c>
      <c r="B42" s="5" t="s">
        <v>146</v>
      </c>
      <c r="C42" s="5">
        <v>5502</v>
      </c>
      <c r="D42" s="5" t="s">
        <v>504</v>
      </c>
      <c r="E42" s="5" t="s">
        <v>365</v>
      </c>
      <c r="F42" s="26" t="s">
        <v>482</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504</v>
      </c>
      <c r="E43" s="5" t="s">
        <v>221</v>
      </c>
      <c r="F43" s="26" t="s">
        <v>555</v>
      </c>
      <c r="G43" s="26" t="s">
        <v>95</v>
      </c>
      <c r="H43" s="344">
        <v>52000000</v>
      </c>
      <c r="I43" s="341">
        <f t="shared" si="3"/>
        <v>52000000</v>
      </c>
      <c r="J43" s="6">
        <v>44603</v>
      </c>
      <c r="K43" s="6">
        <f t="shared" si="1"/>
        <v>44638</v>
      </c>
      <c r="L43" s="341">
        <v>52000000</v>
      </c>
      <c r="M43" s="6">
        <f t="shared" si="2"/>
        <v>44783</v>
      </c>
      <c r="N43" s="341"/>
      <c r="O43" s="341"/>
      <c r="P43" s="6"/>
      <c r="Q43" s="5" t="s">
        <v>255</v>
      </c>
      <c r="R43" s="141"/>
      <c r="S43" s="371"/>
    </row>
    <row r="44" spans="1:19" s="13" customFormat="1">
      <c r="A44" s="13" t="s">
        <v>146</v>
      </c>
      <c r="B44" s="13" t="s">
        <v>146</v>
      </c>
      <c r="C44" s="13">
        <v>5504</v>
      </c>
      <c r="D44" s="13" t="s">
        <v>316</v>
      </c>
      <c r="E44" s="13" t="s">
        <v>286</v>
      </c>
      <c r="F44" s="36" t="s">
        <v>559</v>
      </c>
      <c r="G44" s="36" t="s">
        <v>80</v>
      </c>
      <c r="H44" s="409">
        <v>30000000</v>
      </c>
      <c r="I44" s="286">
        <f t="shared" si="3"/>
        <v>30000000</v>
      </c>
      <c r="J44" s="11">
        <v>44603</v>
      </c>
      <c r="K44" s="11">
        <f t="shared" si="1"/>
        <v>44638</v>
      </c>
      <c r="L44" s="286">
        <v>30000000</v>
      </c>
      <c r="M44" s="11">
        <f t="shared" si="2"/>
        <v>44783</v>
      </c>
      <c r="N44" s="286">
        <v>0</v>
      </c>
      <c r="O44" s="286">
        <f>L44-N44</f>
        <v>30000000</v>
      </c>
      <c r="P44" s="11">
        <v>44646</v>
      </c>
      <c r="Q44" s="13" t="s">
        <v>255</v>
      </c>
      <c r="R44" s="92"/>
      <c r="S44" s="439" t="s">
        <v>560</v>
      </c>
    </row>
    <row r="45" spans="1:19" s="5" customFormat="1" ht="11.4">
      <c r="A45" s="5" t="s">
        <v>146</v>
      </c>
      <c r="B45" s="5" t="s">
        <v>146</v>
      </c>
      <c r="C45" s="5">
        <v>5507</v>
      </c>
      <c r="D45" s="5" t="s">
        <v>504</v>
      </c>
      <c r="E45" s="5" t="s">
        <v>286</v>
      </c>
      <c r="F45" s="26" t="s">
        <v>565</v>
      </c>
      <c r="G45" s="26" t="s">
        <v>80</v>
      </c>
      <c r="H45" s="344">
        <v>20000000</v>
      </c>
      <c r="I45" s="341">
        <f t="shared" si="3"/>
        <v>20000000</v>
      </c>
      <c r="J45" s="6">
        <v>44611</v>
      </c>
      <c r="K45" s="6">
        <f t="shared" si="1"/>
        <v>44646</v>
      </c>
      <c r="L45" s="341">
        <v>20000000</v>
      </c>
      <c r="M45" s="6">
        <f t="shared" si="2"/>
        <v>44791</v>
      </c>
      <c r="N45" s="341"/>
      <c r="O45" s="341"/>
      <c r="P45" s="6"/>
      <c r="Q45" s="5" t="s">
        <v>255</v>
      </c>
      <c r="R45" s="141"/>
      <c r="S45" s="371" t="s">
        <v>576</v>
      </c>
    </row>
    <row r="46" spans="1:19" s="5" customFormat="1" ht="11.4">
      <c r="A46" s="5" t="s">
        <v>146</v>
      </c>
      <c r="B46" s="5" t="s">
        <v>146</v>
      </c>
      <c r="C46" s="5">
        <v>5508</v>
      </c>
      <c r="D46" s="5" t="s">
        <v>504</v>
      </c>
      <c r="E46" s="5" t="s">
        <v>286</v>
      </c>
      <c r="F46" s="26" t="s">
        <v>566</v>
      </c>
      <c r="G46" s="26" t="s">
        <v>80</v>
      </c>
      <c r="H46" s="344">
        <v>20000000</v>
      </c>
      <c r="I46" s="341">
        <f t="shared" si="3"/>
        <v>20000000</v>
      </c>
      <c r="J46" s="6">
        <v>44614</v>
      </c>
      <c r="K46" s="6">
        <f t="shared" si="1"/>
        <v>44649</v>
      </c>
      <c r="L46" s="341">
        <v>20000000</v>
      </c>
      <c r="M46" s="6">
        <f t="shared" si="2"/>
        <v>44794</v>
      </c>
      <c r="N46" s="341"/>
      <c r="O46" s="341"/>
      <c r="P46" s="6"/>
      <c r="Q46" s="5" t="s">
        <v>255</v>
      </c>
      <c r="R46" s="141"/>
      <c r="S46" s="371" t="s">
        <v>577</v>
      </c>
    </row>
    <row r="47" spans="1:19" s="5" customFormat="1" ht="11.4">
      <c r="A47" s="5" t="s">
        <v>146</v>
      </c>
      <c r="B47" s="5" t="s">
        <v>146</v>
      </c>
      <c r="C47" s="5">
        <v>5512</v>
      </c>
      <c r="D47" s="5" t="s">
        <v>504</v>
      </c>
      <c r="E47" s="5" t="s">
        <v>261</v>
      </c>
      <c r="F47" s="26" t="s">
        <v>587</v>
      </c>
      <c r="G47" s="26" t="s">
        <v>78</v>
      </c>
      <c r="H47" s="344">
        <v>72774039</v>
      </c>
      <c r="I47" s="341">
        <f t="shared" si="3"/>
        <v>72774039</v>
      </c>
      <c r="J47" s="6">
        <v>44623</v>
      </c>
      <c r="K47" s="6">
        <f t="shared" si="1"/>
        <v>44658</v>
      </c>
      <c r="L47" s="341">
        <f>I47</f>
        <v>72774039</v>
      </c>
      <c r="M47" s="6">
        <f t="shared" si="2"/>
        <v>44803</v>
      </c>
      <c r="N47" s="341"/>
      <c r="O47" s="341"/>
      <c r="P47" s="6"/>
      <c r="Q47" s="5" t="s">
        <v>255</v>
      </c>
      <c r="R47" s="141"/>
      <c r="S47" s="371"/>
    </row>
    <row r="48" spans="1:19" s="5" customFormat="1" ht="11.4">
      <c r="A48" s="5" t="s">
        <v>146</v>
      </c>
      <c r="B48" s="5" t="s">
        <v>146</v>
      </c>
      <c r="C48" s="5">
        <v>5518</v>
      </c>
      <c r="D48" s="5" t="s">
        <v>504</v>
      </c>
      <c r="E48" s="5" t="s">
        <v>286</v>
      </c>
      <c r="F48" s="26" t="s">
        <v>491</v>
      </c>
      <c r="G48" s="26" t="s">
        <v>210</v>
      </c>
      <c r="H48" s="344">
        <v>30000000</v>
      </c>
      <c r="I48" s="341">
        <f>H48</f>
        <v>30000000</v>
      </c>
      <c r="J48" s="6">
        <v>44628</v>
      </c>
      <c r="K48" s="6">
        <f t="shared" si="1"/>
        <v>44663</v>
      </c>
      <c r="L48" s="341"/>
      <c r="M48" s="6">
        <f t="shared" si="2"/>
        <v>44808</v>
      </c>
      <c r="N48" s="341"/>
      <c r="O48" s="341"/>
      <c r="P48" s="6"/>
      <c r="Q48" s="5" t="s">
        <v>255</v>
      </c>
      <c r="R48" s="141"/>
      <c r="S48" s="371"/>
    </row>
    <row r="49" spans="1:18" s="510" customFormat="1" ht="11.4">
      <c r="A49" s="510" t="s">
        <v>146</v>
      </c>
      <c r="B49" s="510" t="s">
        <v>146</v>
      </c>
      <c r="C49" s="510">
        <v>5519</v>
      </c>
      <c r="D49" s="510" t="s">
        <v>504</v>
      </c>
      <c r="E49" s="510" t="s">
        <v>601</v>
      </c>
      <c r="F49" s="541" t="s">
        <v>602</v>
      </c>
      <c r="G49" s="541" t="s">
        <v>603</v>
      </c>
      <c r="H49" s="542">
        <v>145548078</v>
      </c>
      <c r="I49" s="543">
        <f>H49</f>
        <v>145548078</v>
      </c>
      <c r="J49" s="544">
        <v>44630</v>
      </c>
      <c r="K49" s="544">
        <f t="shared" si="1"/>
        <v>44665</v>
      </c>
      <c r="L49" s="543"/>
      <c r="M49" s="544">
        <f>J49+150</f>
        <v>44780</v>
      </c>
      <c r="N49" s="543"/>
      <c r="O49" s="543"/>
      <c r="P49" s="544"/>
      <c r="Q49" s="510" t="s">
        <v>146</v>
      </c>
      <c r="R49" s="545"/>
    </row>
    <row r="50" spans="1:18" s="13" customFormat="1">
      <c r="F50" s="36"/>
      <c r="G50" s="36"/>
      <c r="H50" s="66"/>
      <c r="I50" s="27"/>
      <c r="J50" s="11"/>
      <c r="K50" s="11"/>
      <c r="L50" s="27"/>
      <c r="M50" s="11"/>
      <c r="N50" s="27"/>
      <c r="O50" s="27"/>
      <c r="P50" s="11"/>
      <c r="R50" s="11"/>
    </row>
    <row r="51" spans="1:18" s="13" customFormat="1">
      <c r="A51" s="43"/>
      <c r="B51" s="43"/>
      <c r="C51" s="43"/>
      <c r="D51" s="43"/>
      <c r="E51" s="1"/>
      <c r="F51" s="13" t="s">
        <v>19</v>
      </c>
      <c r="H51" s="261">
        <f>SUM(H7:H50)</f>
        <v>1594718273</v>
      </c>
      <c r="I51" s="261">
        <f>SUM(I7:I50)</f>
        <v>1594718273</v>
      </c>
      <c r="J51" s="3"/>
      <c r="K51" s="1"/>
      <c r="L51" s="261">
        <f>SUM(L7:L50)</f>
        <v>990370195</v>
      </c>
      <c r="M51" s="3"/>
      <c r="N51" s="261">
        <f>SUM(N7:N50)</f>
        <v>0</v>
      </c>
      <c r="O51" s="261">
        <f>SUM(O7:O50)</f>
        <v>500800000</v>
      </c>
    </row>
    <row r="52" spans="1:18">
      <c r="A52" s="5"/>
      <c r="B52" s="5"/>
      <c r="C52" s="5"/>
      <c r="D52" s="87"/>
      <c r="F52" s="13"/>
      <c r="J52" s="3"/>
      <c r="K52" s="3"/>
      <c r="M52" s="3"/>
    </row>
    <row r="53" spans="1:18">
      <c r="A53" s="5"/>
      <c r="B53" s="5"/>
      <c r="C53" s="5"/>
      <c r="E53" s="5"/>
      <c r="F53" s="13" t="s">
        <v>43</v>
      </c>
      <c r="G53" s="5"/>
      <c r="H53" s="34">
        <f>H51-I51</f>
        <v>0</v>
      </c>
      <c r="I53" s="9"/>
      <c r="J53" s="3"/>
      <c r="K53" s="3"/>
      <c r="M53" s="76"/>
    </row>
    <row r="54" spans="1:18">
      <c r="A54" s="5"/>
      <c r="B54" s="5"/>
      <c r="C54" s="5"/>
      <c r="E54" s="132"/>
      <c r="G54" s="5"/>
      <c r="H54" s="67"/>
      <c r="I54" s="9"/>
      <c r="J54" s="3"/>
      <c r="K54" s="3"/>
      <c r="L54" s="166"/>
      <c r="M54" s="76"/>
      <c r="N54" s="82"/>
      <c r="O54" s="3"/>
    </row>
    <row r="55" spans="1:18">
      <c r="A55" s="5"/>
      <c r="B55" s="5"/>
      <c r="C55" s="5"/>
      <c r="E55" s="132"/>
      <c r="F55" s="58" t="s">
        <v>75</v>
      </c>
      <c r="G55" s="5"/>
      <c r="H55" s="77">
        <f>E1-I51+O51+G67</f>
        <v>356578085</v>
      </c>
      <c r="J55" s="3"/>
      <c r="L55" s="166"/>
      <c r="M55" s="3"/>
      <c r="N55" s="9"/>
      <c r="O55" s="186"/>
    </row>
    <row r="56" spans="1:18">
      <c r="A56" s="5"/>
      <c r="B56" s="5"/>
      <c r="C56" s="5"/>
      <c r="H56" s="249"/>
      <c r="J56" s="345"/>
      <c r="K56" s="3"/>
      <c r="L56" s="255"/>
      <c r="M56" s="3"/>
      <c r="N56" s="9"/>
    </row>
    <row r="57" spans="1:18">
      <c r="A57" s="5"/>
      <c r="B57" s="5"/>
      <c r="C57" s="5"/>
      <c r="H57" s="82"/>
      <c r="I57" s="170"/>
      <c r="J57" s="3"/>
      <c r="K57" s="3"/>
      <c r="L57" s="255"/>
      <c r="M57" s="3"/>
      <c r="N57" s="82"/>
    </row>
    <row r="58" spans="1:18" s="13" customFormat="1">
      <c r="G58" s="147"/>
      <c r="H58" s="352"/>
      <c r="I58" s="307"/>
      <c r="J58" s="3"/>
      <c r="K58" s="11"/>
      <c r="L58" s="430"/>
      <c r="M58" s="11"/>
      <c r="N58" s="80"/>
      <c r="P58" s="11"/>
      <c r="R58" s="43"/>
    </row>
    <row r="59" spans="1:18" s="13" customFormat="1">
      <c r="C59" s="43"/>
      <c r="D59" s="1"/>
      <c r="E59" s="147"/>
      <c r="F59" s="43"/>
      <c r="G59" s="9"/>
      <c r="H59" s="208"/>
      <c r="I59" s="307"/>
      <c r="J59" s="3"/>
      <c r="K59" s="398"/>
      <c r="L59" s="342"/>
      <c r="M59" s="10"/>
      <c r="N59" s="10"/>
      <c r="O59" s="10"/>
      <c r="P59" s="11"/>
      <c r="R59" s="43"/>
    </row>
    <row r="60" spans="1:18" s="13" customFormat="1">
      <c r="C60" s="13">
        <v>5390</v>
      </c>
      <c r="D60" s="13" t="s">
        <v>77</v>
      </c>
      <c r="E60" s="36" t="s">
        <v>354</v>
      </c>
      <c r="F60" s="36" t="s">
        <v>94</v>
      </c>
      <c r="G60" s="9">
        <v>13500000</v>
      </c>
      <c r="H60" s="498" t="s">
        <v>515</v>
      </c>
      <c r="I60" s="307"/>
      <c r="J60" s="350"/>
      <c r="K60" s="11"/>
      <c r="L60" s="352"/>
      <c r="M60" s="49"/>
      <c r="N60" s="352"/>
      <c r="O60" s="286"/>
      <c r="P60" s="11"/>
      <c r="R60" s="43"/>
    </row>
    <row r="61" spans="1:18" s="13" customFormat="1">
      <c r="C61" s="13">
        <v>5391</v>
      </c>
      <c r="D61" s="13" t="s">
        <v>77</v>
      </c>
      <c r="E61" s="13" t="s">
        <v>152</v>
      </c>
      <c r="F61" s="36" t="s">
        <v>94</v>
      </c>
      <c r="G61" s="9">
        <f>30000000</f>
        <v>30000000</v>
      </c>
      <c r="H61" s="498" t="s">
        <v>591</v>
      </c>
      <c r="I61" s="307"/>
      <c r="J61" s="350"/>
      <c r="K61" s="11"/>
      <c r="L61" s="352"/>
      <c r="M61" s="49"/>
      <c r="N61" s="352"/>
      <c r="O61" s="286"/>
      <c r="P61" s="11"/>
      <c r="R61" s="43"/>
    </row>
    <row r="62" spans="1:18" s="13" customFormat="1">
      <c r="C62" s="13">
        <v>5203</v>
      </c>
      <c r="D62" s="13" t="s">
        <v>77</v>
      </c>
      <c r="E62" s="13" t="s">
        <v>308</v>
      </c>
      <c r="F62" s="36" t="s">
        <v>94</v>
      </c>
      <c r="G62" s="9">
        <v>35000000</v>
      </c>
      <c r="H62" s="498" t="s">
        <v>552</v>
      </c>
      <c r="I62" s="307"/>
      <c r="J62" s="350"/>
      <c r="K62" s="11"/>
      <c r="L62" s="352"/>
      <c r="M62" s="49"/>
      <c r="N62" s="352"/>
      <c r="O62" s="286"/>
      <c r="P62" s="11"/>
      <c r="R62" s="43"/>
    </row>
    <row r="63" spans="1:18" s="13" customFormat="1">
      <c r="C63" s="13">
        <v>5414</v>
      </c>
      <c r="D63" s="13" t="s">
        <v>77</v>
      </c>
      <c r="E63" s="13" t="s">
        <v>286</v>
      </c>
      <c r="F63" s="36" t="s">
        <v>94</v>
      </c>
      <c r="G63" s="9">
        <v>20000000</v>
      </c>
      <c r="H63" s="498" t="s">
        <v>574</v>
      </c>
      <c r="I63" s="307"/>
      <c r="J63" s="350"/>
      <c r="K63" s="11"/>
      <c r="L63" s="352"/>
      <c r="M63" s="49"/>
      <c r="N63" s="352"/>
      <c r="O63" s="286"/>
      <c r="P63" s="11"/>
      <c r="R63" s="43"/>
    </row>
    <row r="64" spans="1:18" s="13" customFormat="1">
      <c r="C64" s="13">
        <v>5415</v>
      </c>
      <c r="D64" s="13" t="s">
        <v>77</v>
      </c>
      <c r="E64" s="13" t="s">
        <v>286</v>
      </c>
      <c r="F64" s="36" t="s">
        <v>94</v>
      </c>
      <c r="G64" s="9">
        <v>20000000</v>
      </c>
      <c r="H64" s="498" t="s">
        <v>575</v>
      </c>
      <c r="I64" s="307"/>
      <c r="J64" s="350"/>
      <c r="K64" s="11"/>
      <c r="L64" s="352"/>
      <c r="M64" s="49"/>
      <c r="N64" s="352"/>
      <c r="O64" s="286"/>
      <c r="P64" s="11"/>
      <c r="R64" s="43"/>
    </row>
    <row r="65" spans="3:18" s="13" customFormat="1">
      <c r="C65" s="13">
        <v>5259</v>
      </c>
      <c r="D65" s="13" t="s">
        <v>77</v>
      </c>
      <c r="E65" s="13" t="s">
        <v>261</v>
      </c>
      <c r="F65" s="36" t="s">
        <v>94</v>
      </c>
      <c r="G65" s="9">
        <v>6400000</v>
      </c>
      <c r="H65" s="208" t="s">
        <v>592</v>
      </c>
      <c r="I65" s="307"/>
      <c r="J65" s="350"/>
      <c r="K65" s="11"/>
      <c r="L65" s="352"/>
      <c r="M65" s="49"/>
      <c r="N65" s="352"/>
      <c r="O65" s="286"/>
      <c r="P65" s="11"/>
      <c r="R65" s="43"/>
    </row>
    <row r="66" spans="3:18" s="13" customFormat="1">
      <c r="C66" s="13">
        <v>5424</v>
      </c>
      <c r="D66" s="13" t="s">
        <v>77</v>
      </c>
      <c r="E66" s="13" t="s">
        <v>372</v>
      </c>
      <c r="F66" s="36" t="s">
        <v>94</v>
      </c>
      <c r="G66" s="422">
        <v>62752737</v>
      </c>
      <c r="H66" s="208" t="s">
        <v>593</v>
      </c>
      <c r="I66" s="307"/>
      <c r="J66" s="350"/>
      <c r="K66" s="11"/>
      <c r="L66" s="352"/>
      <c r="M66" s="49"/>
      <c r="N66" s="352"/>
      <c r="O66" s="286"/>
      <c r="P66" s="11"/>
      <c r="R66" s="43"/>
    </row>
    <row r="67" spans="3:18">
      <c r="C67" s="13"/>
      <c r="D67" s="13"/>
      <c r="E67" s="13"/>
      <c r="F67" s="36"/>
      <c r="G67" s="297">
        <f>SUM(G60:G66)</f>
        <v>187652737</v>
      </c>
      <c r="H67" s="3"/>
      <c r="I67" s="3"/>
      <c r="J67" s="3"/>
      <c r="M67" s="383"/>
      <c r="N67" s="166"/>
    </row>
    <row r="68" spans="3:18">
      <c r="E68" s="43"/>
      <c r="I68" s="82"/>
      <c r="J68" s="3"/>
      <c r="M68" s="383"/>
      <c r="N68" s="434"/>
      <c r="Q68" s="1"/>
    </row>
    <row r="69" spans="3:18">
      <c r="J69" s="3"/>
      <c r="N69" s="435"/>
      <c r="Q69" s="1"/>
    </row>
    <row r="70" spans="3:18">
      <c r="C70" s="13"/>
      <c r="D70" s="13"/>
      <c r="E70" s="13"/>
      <c r="F70" s="36"/>
      <c r="J70" s="3"/>
      <c r="Q70" s="1"/>
    </row>
    <row r="71" spans="3:18">
      <c r="J71" s="3"/>
      <c r="Q71" s="1"/>
    </row>
    <row r="72" spans="3:18">
      <c r="J72" s="3"/>
      <c r="Q72" s="1"/>
    </row>
    <row r="73" spans="3:18">
      <c r="G73" s="166"/>
      <c r="Q73" s="1"/>
    </row>
    <row r="74" spans="3:18">
      <c r="G74" s="14"/>
      <c r="H74" s="1"/>
      <c r="Q74" s="1"/>
    </row>
    <row r="75" spans="3:18">
      <c r="G75" s="383"/>
      <c r="Q75" s="1"/>
    </row>
    <row r="76" spans="3:18">
      <c r="G76" s="3"/>
      <c r="H76" s="3"/>
      <c r="I76" s="3"/>
      <c r="J76" s="3"/>
      <c r="K76" s="3"/>
      <c r="L76" s="3"/>
      <c r="M76" s="3"/>
      <c r="Q76" s="1"/>
    </row>
    <row r="77" spans="3:18">
      <c r="G77" s="3"/>
      <c r="H77" s="3"/>
      <c r="I77" s="3"/>
      <c r="J77" s="3"/>
      <c r="K77" s="3"/>
      <c r="L77" s="3"/>
      <c r="M77" s="3"/>
      <c r="Q77" s="1"/>
    </row>
    <row r="78" spans="3:18">
      <c r="H78" s="1"/>
      <c r="L78" s="1"/>
      <c r="Q78" s="1"/>
    </row>
    <row r="79" spans="3:18">
      <c r="H79" s="1"/>
      <c r="L79" s="1"/>
      <c r="Q79" s="1"/>
    </row>
    <row r="80" spans="3:18">
      <c r="H80" s="1"/>
      <c r="L80" s="1"/>
      <c r="Q80" s="1"/>
    </row>
    <row r="81" spans="7:17">
      <c r="G81" s="167"/>
      <c r="H81" s="167"/>
      <c r="I81" s="167"/>
      <c r="J81" s="167"/>
      <c r="K81" s="167"/>
      <c r="L81" s="167"/>
      <c r="M81" s="167"/>
      <c r="Q81" s="1"/>
    </row>
    <row r="82" spans="7:17">
      <c r="G82" s="167"/>
      <c r="H82" s="167"/>
      <c r="I82" s="167"/>
      <c r="J82" s="167"/>
      <c r="K82" s="167"/>
      <c r="L82" s="167"/>
      <c r="M82" s="167"/>
      <c r="Q82" s="1"/>
    </row>
    <row r="83" spans="7:17">
      <c r="G83" s="166"/>
      <c r="Q83" s="1"/>
    </row>
    <row r="84" spans="7:17">
      <c r="G84" s="384"/>
      <c r="H84" s="1"/>
      <c r="L84" s="1"/>
      <c r="Q84" s="1"/>
    </row>
    <row r="85" spans="7:17">
      <c r="G85" s="385"/>
      <c r="H85" s="1"/>
      <c r="L85" s="1"/>
      <c r="Q85" s="1"/>
    </row>
    <row r="87" spans="7:17">
      <c r="G87" s="167"/>
      <c r="H87" s="1"/>
      <c r="L87" s="1"/>
      <c r="Q87"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4"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3"/>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302</v>
      </c>
    </row>
    <row r="4" spans="1:20" ht="13.8" thickBot="1">
      <c r="A4" s="153" t="s">
        <v>17</v>
      </c>
      <c r="B4" s="154"/>
      <c r="C4" s="155"/>
      <c r="D4" s="156"/>
      <c r="E4" s="156"/>
      <c r="F4" s="177"/>
      <c r="G4" s="177"/>
      <c r="H4" s="178"/>
      <c r="I4" s="178"/>
      <c r="J4" s="179"/>
      <c r="K4" s="178"/>
      <c r="L4" s="177"/>
      <c r="M4" s="177"/>
      <c r="N4" s="362" t="s">
        <v>9</v>
      </c>
      <c r="O4" s="362"/>
      <c r="P4" s="362"/>
      <c r="Q4" s="365" t="s">
        <v>9</v>
      </c>
      <c r="T4" s="335" t="s">
        <v>416</v>
      </c>
    </row>
    <row r="5" spans="1:20">
      <c r="A5" s="31" t="s">
        <v>243</v>
      </c>
    </row>
    <row r="6" spans="1:20" s="185" customFormat="1" ht="12">
      <c r="A6" s="5" t="s">
        <v>305</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1"/>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1"/>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1"/>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1"/>
      <c r="T11" s="62">
        <f t="shared" si="1"/>
        <v>30000000</v>
      </c>
    </row>
    <row r="12" spans="1:20" ht="12">
      <c r="A12" s="13" t="s">
        <v>290</v>
      </c>
      <c r="B12" s="13" t="s">
        <v>316</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8"/>
      <c r="T12" s="408">
        <f t="shared" si="1"/>
        <v>540000</v>
      </c>
    </row>
    <row r="13" spans="1:20" ht="12">
      <c r="A13" s="13" t="s">
        <v>306</v>
      </c>
      <c r="B13" s="13" t="s">
        <v>316</v>
      </c>
      <c r="C13" s="13" t="s">
        <v>144</v>
      </c>
      <c r="D13" s="13" t="s">
        <v>307</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8"/>
      <c r="T13" s="499">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1"/>
    </row>
    <row r="17" spans="1:20" ht="13.2">
      <c r="A17" s="453"/>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5"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512</v>
      </c>
      <c r="T23" s="412">
        <v>87298849.329999998</v>
      </c>
    </row>
    <row r="24" spans="1:20" ht="12">
      <c r="A24" s="13"/>
      <c r="B24" s="13"/>
      <c r="C24" s="13"/>
      <c r="D24" s="13"/>
      <c r="E24" s="13"/>
      <c r="F24" s="286"/>
      <c r="G24" s="184"/>
      <c r="H24" s="184"/>
      <c r="I24" s="184"/>
      <c r="J24" s="184"/>
      <c r="K24" s="184"/>
      <c r="L24" s="356"/>
      <c r="M24" s="202"/>
      <c r="N24" s="151"/>
    </row>
    <row r="25" spans="1:20" ht="12">
      <c r="C25" s="454"/>
      <c r="D25" s="454"/>
      <c r="F25" s="184"/>
      <c r="G25" s="184"/>
      <c r="H25" s="184"/>
      <c r="I25" s="184"/>
      <c r="J25" s="322">
        <f>SUM(J23:J23)</f>
        <v>87298849.329999998</v>
      </c>
      <c r="K25" s="402"/>
      <c r="L25" s="322">
        <f>SUM(L23:L23)</f>
        <v>87298849.329999998</v>
      </c>
      <c r="M25" s="322">
        <f>SUM(M23:M23)</f>
        <v>0</v>
      </c>
      <c r="N25" s="151"/>
      <c r="O25" s="196"/>
      <c r="T25" s="322">
        <f>SUM(T23:T23)</f>
        <v>87298849.329999998</v>
      </c>
    </row>
    <row r="26" spans="1:20" ht="12.6" thickBot="1">
      <c r="C26" s="454"/>
      <c r="D26" s="454"/>
      <c r="F26" s="184"/>
      <c r="G26" s="416"/>
      <c r="H26" s="184"/>
      <c r="I26" s="184"/>
      <c r="J26" s="184"/>
      <c r="K26" s="184"/>
      <c r="L26" s="191"/>
      <c r="M26" s="196"/>
      <c r="N26" s="151"/>
    </row>
    <row r="27" spans="1:20" ht="12">
      <c r="A27" s="456" t="s">
        <v>94</v>
      </c>
      <c r="C27" s="454"/>
      <c r="D27" s="454"/>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8">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8">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9"/>
      <c r="T30" s="408">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8">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8">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6">
        <f t="shared" si="4"/>
        <v>0</v>
      </c>
      <c r="N33" s="497">
        <v>44616</v>
      </c>
      <c r="O33" s="498" t="s">
        <v>580</v>
      </c>
      <c r="T33" s="408">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6"/>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31"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29.5" customWidth="1"/>
    <col min="16" max="16" width="9.125"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302</v>
      </c>
    </row>
    <row r="4" spans="1:20" ht="13.8" thickBot="1">
      <c r="A4" s="153" t="s">
        <v>17</v>
      </c>
      <c r="B4" s="154"/>
      <c r="C4" s="155"/>
      <c r="D4" s="156"/>
      <c r="E4" s="156"/>
      <c r="F4" s="177"/>
      <c r="G4" s="177"/>
      <c r="H4" s="178"/>
      <c r="I4" s="178"/>
      <c r="J4" s="179"/>
      <c r="K4" s="178"/>
      <c r="L4" s="177"/>
      <c r="M4" s="177"/>
      <c r="N4" s="362" t="s">
        <v>9</v>
      </c>
      <c r="O4" s="362"/>
      <c r="P4" s="362"/>
      <c r="Q4" s="365" t="s">
        <v>9</v>
      </c>
      <c r="T4" s="335" t="s">
        <v>416</v>
      </c>
    </row>
    <row r="5" spans="1:20">
      <c r="A5" s="31" t="s">
        <v>243</v>
      </c>
      <c r="D5" s="454"/>
    </row>
    <row r="6" spans="1:20" s="185" customFormat="1" ht="12">
      <c r="A6" s="31" t="s">
        <v>363</v>
      </c>
      <c r="B6" s="4" t="s">
        <v>77</v>
      </c>
      <c r="C6" s="5" t="s">
        <v>76</v>
      </c>
      <c r="D6" s="5" t="s">
        <v>364</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4"/>
      <c r="D7" s="454"/>
      <c r="H7" s="198"/>
      <c r="K7" s="198"/>
    </row>
    <row r="8" spans="1:20" ht="12.75" customHeight="1">
      <c r="A8" s="31" t="s">
        <v>148</v>
      </c>
      <c r="C8" s="454"/>
      <c r="D8" s="454"/>
      <c r="H8" s="198"/>
      <c r="K8" s="198"/>
    </row>
    <row r="9" spans="1:20" s="4" customFormat="1">
      <c r="A9" s="31" t="s">
        <v>314</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318</v>
      </c>
      <c r="B10" s="4" t="s">
        <v>77</v>
      </c>
      <c r="C10" s="5" t="s">
        <v>311</v>
      </c>
      <c r="D10" s="5" t="s">
        <v>319</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329</v>
      </c>
      <c r="B11" s="4" t="s">
        <v>77</v>
      </c>
      <c r="C11" s="5" t="s">
        <v>98</v>
      </c>
      <c r="D11" s="5" t="s">
        <v>330</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335</v>
      </c>
      <c r="B12" s="4" t="s">
        <v>77</v>
      </c>
      <c r="C12" s="5" t="s">
        <v>98</v>
      </c>
      <c r="D12" s="5" t="s">
        <v>336</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337</v>
      </c>
      <c r="B13" s="1" t="s">
        <v>316</v>
      </c>
      <c r="C13" s="13" t="s">
        <v>311</v>
      </c>
      <c r="D13" s="13" t="s">
        <v>338</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339</v>
      </c>
      <c r="B14" s="1" t="s">
        <v>316</v>
      </c>
      <c r="C14" s="13" t="s">
        <v>157</v>
      </c>
      <c r="D14" s="36" t="s">
        <v>94</v>
      </c>
      <c r="E14" s="1" t="s">
        <v>258</v>
      </c>
      <c r="F14" s="9">
        <v>15000000</v>
      </c>
      <c r="G14" s="9">
        <f t="shared" si="0"/>
        <v>15000000</v>
      </c>
      <c r="H14" s="3">
        <v>44208</v>
      </c>
      <c r="I14" s="3">
        <v>44210</v>
      </c>
      <c r="J14" s="9">
        <v>1900000</v>
      </c>
      <c r="K14" s="3">
        <v>45290</v>
      </c>
      <c r="L14" s="496">
        <v>1900000</v>
      </c>
      <c r="M14" s="496">
        <f t="shared" si="2"/>
        <v>0</v>
      </c>
      <c r="N14" s="521">
        <v>44597</v>
      </c>
      <c r="O14" s="285" t="s">
        <v>550</v>
      </c>
      <c r="T14" s="123">
        <f t="shared" si="3"/>
        <v>0</v>
      </c>
    </row>
    <row r="15" spans="1:20" s="1" customFormat="1" ht="12">
      <c r="A15" s="136"/>
      <c r="C15" s="13"/>
      <c r="D15" s="13"/>
      <c r="F15" s="9"/>
      <c r="G15" s="9"/>
      <c r="H15" s="3"/>
      <c r="I15" s="3"/>
      <c r="J15" s="82"/>
      <c r="L15" s="9"/>
      <c r="M15" s="9"/>
      <c r="N15" s="7"/>
      <c r="T15" s="123"/>
    </row>
    <row r="16" spans="1:20" ht="12">
      <c r="A16" s="31" t="s">
        <v>91</v>
      </c>
      <c r="C16" s="454"/>
      <c r="D16" s="13"/>
      <c r="H16" s="198"/>
      <c r="I16" s="3"/>
      <c r="J16" s="447"/>
      <c r="N16" s="7"/>
      <c r="T16" s="123"/>
    </row>
    <row r="17" spans="1:20" s="185" customFormat="1" ht="12">
      <c r="A17" s="31" t="s">
        <v>309</v>
      </c>
      <c r="B17" s="4" t="s">
        <v>77</v>
      </c>
      <c r="C17" s="5" t="s">
        <v>152</v>
      </c>
      <c r="D17" s="5" t="s">
        <v>310</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312</v>
      </c>
      <c r="B18" s="4" t="s">
        <v>77</v>
      </c>
      <c r="C18" s="5" t="s">
        <v>152</v>
      </c>
      <c r="D18" s="5" t="s">
        <v>313</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331</v>
      </c>
      <c r="B19" s="4" t="s">
        <v>77</v>
      </c>
      <c r="C19" s="5" t="s">
        <v>152</v>
      </c>
      <c r="D19" s="5" t="s">
        <v>332</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333</v>
      </c>
      <c r="B20" s="4" t="s">
        <v>77</v>
      </c>
      <c r="C20" s="5" t="s">
        <v>152</v>
      </c>
      <c r="D20" s="5" t="s">
        <v>334</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320</v>
      </c>
      <c r="D31" s="36" t="s">
        <v>317</v>
      </c>
      <c r="E31" s="36" t="s">
        <v>82</v>
      </c>
      <c r="F31" s="409">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3">
        <v>40000000</v>
      </c>
      <c r="G32" s="413">
        <f t="shared" si="5"/>
        <v>40000000</v>
      </c>
      <c r="H32" s="11">
        <v>44048</v>
      </c>
      <c r="I32" s="11">
        <f t="shared" si="6"/>
        <v>44083</v>
      </c>
      <c r="J32" s="413">
        <v>40000000</v>
      </c>
      <c r="K32" s="11">
        <v>45290</v>
      </c>
      <c r="L32" s="488">
        <v>2731065.67</v>
      </c>
      <c r="M32" s="488">
        <f t="shared" si="7"/>
        <v>37268934.329999998</v>
      </c>
      <c r="N32" s="486">
        <v>44512</v>
      </c>
      <c r="O32" s="487" t="s">
        <v>513</v>
      </c>
      <c r="T32" s="286">
        <f>M32+L32</f>
        <v>40000000</v>
      </c>
    </row>
    <row r="33" spans="1:20" ht="12">
      <c r="A33" s="13">
        <v>5216</v>
      </c>
      <c r="B33" s="13" t="s">
        <v>77</v>
      </c>
      <c r="C33" s="36" t="s">
        <v>76</v>
      </c>
      <c r="D33" s="36" t="s">
        <v>317</v>
      </c>
      <c r="E33" s="36" t="s">
        <v>151</v>
      </c>
      <c r="F33" s="413">
        <v>409970085</v>
      </c>
      <c r="G33" s="413">
        <f t="shared" si="5"/>
        <v>409970085</v>
      </c>
      <c r="H33" s="11">
        <v>44048</v>
      </c>
      <c r="I33" s="11">
        <f t="shared" si="6"/>
        <v>44083</v>
      </c>
      <c r="J33" s="413">
        <v>409970085</v>
      </c>
      <c r="K33" s="11">
        <v>45290</v>
      </c>
      <c r="L33" s="286">
        <f>162701150.67+233259100</f>
        <v>395960250.66999996</v>
      </c>
      <c r="M33" s="342">
        <f t="shared" si="7"/>
        <v>14009834.330000043</v>
      </c>
      <c r="N33" s="151">
        <v>44610</v>
      </c>
      <c r="O33" s="1" t="s">
        <v>570</v>
      </c>
      <c r="P33" s="490"/>
      <c r="T33" s="286">
        <f>M33</f>
        <v>14009834.330000043</v>
      </c>
    </row>
    <row r="34" spans="1:20" ht="12">
      <c r="A34" s="13">
        <v>5218</v>
      </c>
      <c r="B34" s="13" t="s">
        <v>77</v>
      </c>
      <c r="C34" s="13" t="s">
        <v>283</v>
      </c>
      <c r="D34" s="36" t="s">
        <v>321</v>
      </c>
      <c r="E34" s="36" t="s">
        <v>228</v>
      </c>
      <c r="F34" s="409">
        <v>64819515</v>
      </c>
      <c r="G34" s="413">
        <f t="shared" si="5"/>
        <v>64819515</v>
      </c>
      <c r="H34" s="11">
        <v>44048</v>
      </c>
      <c r="I34" s="11">
        <f t="shared" si="6"/>
        <v>44083</v>
      </c>
      <c r="J34" s="413">
        <v>64819515</v>
      </c>
      <c r="K34" s="11">
        <v>45290</v>
      </c>
      <c r="L34" s="286">
        <v>0</v>
      </c>
      <c r="M34" s="286">
        <f t="shared" si="7"/>
        <v>64819515</v>
      </c>
      <c r="N34" s="151">
        <v>44266</v>
      </c>
      <c r="T34" s="286">
        <f t="shared" ref="T34:T45" si="8">M34</f>
        <v>64819515</v>
      </c>
    </row>
    <row r="35" spans="1:20" ht="12">
      <c r="A35" s="13">
        <v>5219</v>
      </c>
      <c r="B35" s="13" t="s">
        <v>77</v>
      </c>
      <c r="C35" s="13" t="s">
        <v>287</v>
      </c>
      <c r="D35" s="36" t="s">
        <v>321</v>
      </c>
      <c r="E35" s="36" t="s">
        <v>277</v>
      </c>
      <c r="F35" s="409">
        <v>10000000</v>
      </c>
      <c r="G35" s="413">
        <f t="shared" si="5"/>
        <v>10000000</v>
      </c>
      <c r="H35" s="11">
        <v>44048</v>
      </c>
      <c r="I35" s="11">
        <f t="shared" si="6"/>
        <v>44083</v>
      </c>
      <c r="J35" s="413">
        <v>10000000</v>
      </c>
      <c r="K35" s="11">
        <v>45290</v>
      </c>
      <c r="L35" s="286">
        <v>0</v>
      </c>
      <c r="M35" s="286">
        <f t="shared" si="7"/>
        <v>10000000</v>
      </c>
      <c r="N35" s="151">
        <v>44266</v>
      </c>
      <c r="T35" s="286">
        <f t="shared" si="8"/>
        <v>10000000</v>
      </c>
    </row>
    <row r="36" spans="1:20" ht="12">
      <c r="A36" s="13">
        <v>5220</v>
      </c>
      <c r="B36" s="13" t="s">
        <v>77</v>
      </c>
      <c r="C36" s="13" t="s">
        <v>280</v>
      </c>
      <c r="D36" s="36" t="s">
        <v>321</v>
      </c>
      <c r="E36" s="36" t="s">
        <v>278</v>
      </c>
      <c r="F36" s="409">
        <v>20000000</v>
      </c>
      <c r="G36" s="413">
        <f t="shared" si="5"/>
        <v>20000000</v>
      </c>
      <c r="H36" s="11">
        <v>44048</v>
      </c>
      <c r="I36" s="11">
        <f t="shared" si="6"/>
        <v>44083</v>
      </c>
      <c r="J36" s="413">
        <v>20000000</v>
      </c>
      <c r="K36" s="11">
        <v>45290</v>
      </c>
      <c r="L36" s="286">
        <v>0</v>
      </c>
      <c r="M36" s="286">
        <f t="shared" si="7"/>
        <v>20000000</v>
      </c>
      <c r="N36" s="151">
        <v>44266</v>
      </c>
      <c r="T36" s="286">
        <f t="shared" si="8"/>
        <v>20000000</v>
      </c>
    </row>
    <row r="37" spans="1:20" ht="12">
      <c r="A37" s="13">
        <v>5221</v>
      </c>
      <c r="B37" s="13" t="s">
        <v>77</v>
      </c>
      <c r="C37" s="13" t="s">
        <v>282</v>
      </c>
      <c r="D37" s="36" t="s">
        <v>321</v>
      </c>
      <c r="E37" s="36" t="s">
        <v>168</v>
      </c>
      <c r="F37" s="409">
        <v>6000000</v>
      </c>
      <c r="G37" s="413">
        <f t="shared" si="5"/>
        <v>6000000</v>
      </c>
      <c r="H37" s="11">
        <v>44048</v>
      </c>
      <c r="I37" s="11">
        <f t="shared" si="6"/>
        <v>44083</v>
      </c>
      <c r="J37" s="413">
        <v>6000000</v>
      </c>
      <c r="K37" s="11">
        <v>45290</v>
      </c>
      <c r="L37" s="286">
        <v>0</v>
      </c>
      <c r="M37" s="286">
        <f t="shared" si="7"/>
        <v>6000000</v>
      </c>
      <c r="N37" s="151">
        <v>44266</v>
      </c>
      <c r="T37" s="286">
        <f t="shared" si="8"/>
        <v>6000000</v>
      </c>
    </row>
    <row r="38" spans="1:20" ht="12">
      <c r="A38" s="13">
        <v>5222</v>
      </c>
      <c r="B38" s="13" t="s">
        <v>77</v>
      </c>
      <c r="C38" s="13" t="s">
        <v>281</v>
      </c>
      <c r="D38" s="36" t="s">
        <v>321</v>
      </c>
      <c r="E38" s="36" t="s">
        <v>275</v>
      </c>
      <c r="F38" s="409">
        <v>30000000</v>
      </c>
      <c r="G38" s="413">
        <f t="shared" si="5"/>
        <v>30000000</v>
      </c>
      <c r="H38" s="11">
        <v>44048</v>
      </c>
      <c r="I38" s="11">
        <f t="shared" si="6"/>
        <v>44083</v>
      </c>
      <c r="J38" s="413">
        <v>30000000</v>
      </c>
      <c r="K38" s="11">
        <v>45290</v>
      </c>
      <c r="L38" s="286">
        <v>0</v>
      </c>
      <c r="M38" s="286">
        <f t="shared" si="7"/>
        <v>30000000</v>
      </c>
      <c r="N38" s="151">
        <v>44266</v>
      </c>
      <c r="T38" s="286">
        <f t="shared" si="8"/>
        <v>30000000</v>
      </c>
    </row>
    <row r="39" spans="1:20" ht="12">
      <c r="A39" s="13">
        <v>5223</v>
      </c>
      <c r="B39" s="13" t="s">
        <v>77</v>
      </c>
      <c r="C39" s="13" t="s">
        <v>285</v>
      </c>
      <c r="D39" s="36" t="s">
        <v>321</v>
      </c>
      <c r="E39" s="36" t="s">
        <v>322</v>
      </c>
      <c r="F39" s="409">
        <v>35000000</v>
      </c>
      <c r="G39" s="413">
        <f t="shared" si="5"/>
        <v>35000000</v>
      </c>
      <c r="H39" s="11">
        <v>44048</v>
      </c>
      <c r="I39" s="11">
        <f t="shared" si="6"/>
        <v>44083</v>
      </c>
      <c r="J39" s="413">
        <v>35000000</v>
      </c>
      <c r="K39" s="11">
        <v>45290</v>
      </c>
      <c r="L39" s="286">
        <v>0</v>
      </c>
      <c r="M39" s="286">
        <f t="shared" si="7"/>
        <v>35000000</v>
      </c>
      <c r="N39" s="151">
        <v>44266</v>
      </c>
      <c r="T39" s="286">
        <f t="shared" si="8"/>
        <v>35000000</v>
      </c>
    </row>
    <row r="40" spans="1:20" ht="12">
      <c r="A40" s="13">
        <v>5224</v>
      </c>
      <c r="B40" s="13" t="s">
        <v>77</v>
      </c>
      <c r="C40" s="13" t="s">
        <v>289</v>
      </c>
      <c r="D40" s="36" t="s">
        <v>321</v>
      </c>
      <c r="E40" s="36" t="s">
        <v>78</v>
      </c>
      <c r="F40" s="409">
        <v>64819515</v>
      </c>
      <c r="G40" s="413">
        <f t="shared" si="5"/>
        <v>64819515</v>
      </c>
      <c r="H40" s="11">
        <v>44048</v>
      </c>
      <c r="I40" s="11">
        <f t="shared" si="6"/>
        <v>44083</v>
      </c>
      <c r="J40" s="413">
        <f>G40</f>
        <v>64819515</v>
      </c>
      <c r="K40" s="11">
        <v>45290</v>
      </c>
      <c r="L40" s="286">
        <v>0</v>
      </c>
      <c r="M40" s="286">
        <f t="shared" si="7"/>
        <v>64819515</v>
      </c>
      <c r="N40" s="151">
        <v>44266</v>
      </c>
      <c r="T40" s="286">
        <f t="shared" si="8"/>
        <v>64819515</v>
      </c>
    </row>
    <row r="41" spans="1:20" ht="12">
      <c r="A41" s="13">
        <v>5225</v>
      </c>
      <c r="B41" s="13" t="s">
        <v>77</v>
      </c>
      <c r="C41" s="13" t="s">
        <v>251</v>
      </c>
      <c r="D41" s="36" t="s">
        <v>317</v>
      </c>
      <c r="E41" s="36" t="s">
        <v>304</v>
      </c>
      <c r="F41" s="409">
        <v>30000000</v>
      </c>
      <c r="G41" s="413">
        <f t="shared" si="5"/>
        <v>30000000</v>
      </c>
      <c r="H41" s="11">
        <v>44048</v>
      </c>
      <c r="I41" s="11">
        <f t="shared" si="6"/>
        <v>44083</v>
      </c>
      <c r="J41" s="413">
        <v>30000000</v>
      </c>
      <c r="K41" s="11">
        <v>45290</v>
      </c>
      <c r="L41" s="286">
        <v>30000000</v>
      </c>
      <c r="M41" s="286">
        <f t="shared" si="7"/>
        <v>0</v>
      </c>
      <c r="N41" s="151">
        <v>44623</v>
      </c>
      <c r="O41" s="1" t="s">
        <v>393</v>
      </c>
      <c r="T41" s="286">
        <f>M41</f>
        <v>0</v>
      </c>
    </row>
    <row r="42" spans="1:20" ht="12">
      <c r="A42" s="13">
        <v>5226</v>
      </c>
      <c r="B42" s="13" t="s">
        <v>77</v>
      </c>
      <c r="C42" s="13" t="s">
        <v>141</v>
      </c>
      <c r="D42" s="36" t="s">
        <v>317</v>
      </c>
      <c r="E42" s="36" t="s">
        <v>323</v>
      </c>
      <c r="F42" s="409">
        <v>27500000</v>
      </c>
      <c r="G42" s="413">
        <f t="shared" si="5"/>
        <v>27500000</v>
      </c>
      <c r="H42" s="11">
        <v>44048</v>
      </c>
      <c r="I42" s="11">
        <f t="shared" si="6"/>
        <v>44083</v>
      </c>
      <c r="J42" s="413">
        <v>27500000</v>
      </c>
      <c r="K42" s="11">
        <v>45290</v>
      </c>
      <c r="L42" s="286">
        <v>0</v>
      </c>
      <c r="M42" s="286">
        <f t="shared" si="7"/>
        <v>27500000</v>
      </c>
      <c r="N42" s="151">
        <v>44251</v>
      </c>
      <c r="T42" s="286">
        <f t="shared" si="8"/>
        <v>27500000</v>
      </c>
    </row>
    <row r="43" spans="1:20" ht="12">
      <c r="A43" s="13">
        <v>5227</v>
      </c>
      <c r="B43" s="13" t="s">
        <v>77</v>
      </c>
      <c r="C43" s="36" t="s">
        <v>288</v>
      </c>
      <c r="D43" s="36" t="s">
        <v>324</v>
      </c>
      <c r="E43" s="36" t="s">
        <v>323</v>
      </c>
      <c r="F43" s="413">
        <v>37319515</v>
      </c>
      <c r="G43" s="413">
        <f t="shared" si="5"/>
        <v>37319515</v>
      </c>
      <c r="H43" s="11">
        <v>44048</v>
      </c>
      <c r="I43" s="11">
        <f t="shared" si="6"/>
        <v>44083</v>
      </c>
      <c r="J43" s="413">
        <v>37319515</v>
      </c>
      <c r="K43" s="11">
        <v>45290</v>
      </c>
      <c r="L43" s="286">
        <v>0</v>
      </c>
      <c r="M43" s="286">
        <f t="shared" si="7"/>
        <v>37319515</v>
      </c>
      <c r="N43" s="151">
        <v>44266</v>
      </c>
      <c r="T43" s="286">
        <f t="shared" si="8"/>
        <v>37319515</v>
      </c>
    </row>
    <row r="44" spans="1:20" ht="12">
      <c r="A44" s="13">
        <v>5228</v>
      </c>
      <c r="B44" s="13" t="s">
        <v>77</v>
      </c>
      <c r="C44" s="36" t="s">
        <v>340</v>
      </c>
      <c r="D44" s="36" t="s">
        <v>324</v>
      </c>
      <c r="E44" s="36" t="s">
        <v>166</v>
      </c>
      <c r="F44" s="413">
        <v>4000000</v>
      </c>
      <c r="G44" s="413">
        <f t="shared" si="5"/>
        <v>4000000</v>
      </c>
      <c r="H44" s="11">
        <v>44048</v>
      </c>
      <c r="I44" s="11">
        <f t="shared" si="6"/>
        <v>44083</v>
      </c>
      <c r="J44" s="413">
        <v>4000000</v>
      </c>
      <c r="K44" s="11">
        <v>45290</v>
      </c>
      <c r="L44" s="286">
        <v>0</v>
      </c>
      <c r="M44" s="286">
        <f t="shared" si="7"/>
        <v>4000000</v>
      </c>
      <c r="N44" s="151">
        <v>44266</v>
      </c>
      <c r="T44" s="286">
        <f t="shared" si="8"/>
        <v>4000000</v>
      </c>
    </row>
    <row r="45" spans="1:20" ht="12">
      <c r="A45" s="13">
        <v>5229</v>
      </c>
      <c r="B45" s="13" t="s">
        <v>77</v>
      </c>
      <c r="C45" s="36" t="s">
        <v>279</v>
      </c>
      <c r="D45" s="36" t="s">
        <v>325</v>
      </c>
      <c r="E45" s="36" t="s">
        <v>164</v>
      </c>
      <c r="F45" s="413">
        <v>15000000</v>
      </c>
      <c r="G45" s="413">
        <f t="shared" si="5"/>
        <v>15000000</v>
      </c>
      <c r="H45" s="11">
        <v>44048</v>
      </c>
      <c r="I45" s="11">
        <f t="shared" si="6"/>
        <v>44083</v>
      </c>
      <c r="J45" s="413">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3"/>
    </row>
    <row r="47" spans="1:20" ht="12">
      <c r="F47" s="184"/>
      <c r="G47" s="449"/>
      <c r="H47" s="184"/>
      <c r="I47" s="184"/>
      <c r="J47" s="192">
        <f>SUM(J31:J46)</f>
        <v>796326461.79999995</v>
      </c>
      <c r="K47" s="402"/>
      <c r="L47" s="192">
        <f>SUM(L31:L46)</f>
        <v>428691316.33999997</v>
      </c>
      <c r="M47" s="192">
        <f>SUM(M31:M46)</f>
        <v>367635145.46000004</v>
      </c>
      <c r="N47" s="151"/>
      <c r="T47" s="322">
        <f>SUM(T31:T46)</f>
        <v>370366211.13000005</v>
      </c>
    </row>
    <row r="48" spans="1:20" ht="12.6" thickBot="1">
      <c r="F48" s="449"/>
      <c r="G48" s="450"/>
      <c r="H48" s="184"/>
      <c r="I48" s="184"/>
      <c r="J48" s="184"/>
      <c r="K48" s="184"/>
      <c r="L48" s="191"/>
      <c r="M48" s="388"/>
      <c r="N48" s="151"/>
    </row>
    <row r="49" spans="1:20" ht="12">
      <c r="A49" s="168" t="s">
        <v>94</v>
      </c>
      <c r="F49" s="449"/>
      <c r="G49" s="449"/>
      <c r="H49" s="151"/>
      <c r="I49" s="184"/>
      <c r="J49" s="446"/>
      <c r="K49" s="287"/>
      <c r="M49" s="388"/>
      <c r="N49" s="151"/>
    </row>
    <row r="50" spans="1:20" ht="12">
      <c r="A50" s="13">
        <v>5199</v>
      </c>
      <c r="B50" s="13" t="s">
        <v>77</v>
      </c>
      <c r="C50" s="13" t="s">
        <v>365</v>
      </c>
      <c r="D50" s="36" t="s">
        <v>94</v>
      </c>
      <c r="E50" s="36" t="s">
        <v>79</v>
      </c>
      <c r="F50" s="409">
        <v>60000000</v>
      </c>
      <c r="G50" s="286">
        <v>60000000</v>
      </c>
      <c r="H50" s="11">
        <v>44019</v>
      </c>
      <c r="I50" s="11">
        <f>H50+35</f>
        <v>44054</v>
      </c>
      <c r="J50" s="286">
        <v>60000000</v>
      </c>
      <c r="K50" s="11">
        <v>45290</v>
      </c>
      <c r="L50" s="286">
        <v>47500000</v>
      </c>
      <c r="M50" s="286">
        <f>J50-L50</f>
        <v>12500000</v>
      </c>
      <c r="N50" s="151">
        <v>44624</v>
      </c>
      <c r="O50" s="424" t="s">
        <v>598</v>
      </c>
      <c r="T50" s="286">
        <f>L50</f>
        <v>47500000</v>
      </c>
    </row>
    <row r="51" spans="1:20" ht="12">
      <c r="A51" s="13">
        <v>5203</v>
      </c>
      <c r="B51" s="13" t="s">
        <v>77</v>
      </c>
      <c r="C51" s="13" t="s">
        <v>308</v>
      </c>
      <c r="D51" s="36" t="s">
        <v>94</v>
      </c>
      <c r="E51" s="36" t="s">
        <v>80</v>
      </c>
      <c r="F51" s="409">
        <v>50000000</v>
      </c>
      <c r="G51" s="286">
        <v>50000000</v>
      </c>
      <c r="H51" s="11">
        <v>44028</v>
      </c>
      <c r="I51" s="11">
        <f>H51+35</f>
        <v>44063</v>
      </c>
      <c r="J51" s="286">
        <v>50000000</v>
      </c>
      <c r="K51" s="11">
        <v>45290</v>
      </c>
      <c r="L51" s="346">
        <v>35000000</v>
      </c>
      <c r="M51" s="346">
        <f>J51-L51</f>
        <v>15000000</v>
      </c>
      <c r="N51" s="497">
        <v>44597</v>
      </c>
      <c r="O51" s="498" t="s">
        <v>552</v>
      </c>
      <c r="Q51" s="447"/>
      <c r="T51" s="286">
        <f>M51+L51</f>
        <v>50000000</v>
      </c>
    </row>
    <row r="52" spans="1:20" ht="12">
      <c r="A52" s="13">
        <v>5233</v>
      </c>
      <c r="B52" s="13" t="s">
        <v>316</v>
      </c>
      <c r="C52" s="13" t="s">
        <v>141</v>
      </c>
      <c r="D52" s="36" t="s">
        <v>94</v>
      </c>
      <c r="E52" s="36" t="s">
        <v>301</v>
      </c>
      <c r="F52" s="409">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316</v>
      </c>
      <c r="C53" s="13" t="s">
        <v>141</v>
      </c>
      <c r="D53" s="36" t="s">
        <v>94</v>
      </c>
      <c r="E53" s="36" t="s">
        <v>142</v>
      </c>
      <c r="F53" s="409">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9">
        <v>25000000</v>
      </c>
      <c r="G54" s="286">
        <v>25000000</v>
      </c>
      <c r="H54" s="11">
        <v>44050</v>
      </c>
      <c r="I54" s="11">
        <f t="shared" si="9"/>
        <v>44085</v>
      </c>
      <c r="J54" s="286">
        <v>10750000</v>
      </c>
      <c r="K54" s="11">
        <v>45290</v>
      </c>
      <c r="L54" s="286">
        <v>0</v>
      </c>
      <c r="M54" s="286">
        <f t="shared" ref="M54:M60" si="14">J54-L54</f>
        <v>10750000</v>
      </c>
      <c r="N54" s="151">
        <v>44505</v>
      </c>
      <c r="O54" s="1"/>
      <c r="T54" s="286">
        <f t="shared" si="11"/>
        <v>10750000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346">
        <f>5000000+6000000+6550000</f>
        <v>17550000</v>
      </c>
      <c r="M55" s="346">
        <f t="shared" si="14"/>
        <v>0</v>
      </c>
      <c r="N55" s="497">
        <v>44624</v>
      </c>
      <c r="O55" s="2" t="s">
        <v>596</v>
      </c>
      <c r="P55" s="285" t="s">
        <v>595</v>
      </c>
      <c r="R55" s="191"/>
      <c r="T55" s="286">
        <f>M55</f>
        <v>0</v>
      </c>
    </row>
    <row r="56" spans="1:20" ht="12">
      <c r="A56" s="13">
        <v>5252</v>
      </c>
      <c r="B56" s="13" t="s">
        <v>77</v>
      </c>
      <c r="C56" s="13" t="s">
        <v>98</v>
      </c>
      <c r="D56" s="36" t="s">
        <v>94</v>
      </c>
      <c r="E56" s="36" t="s">
        <v>79</v>
      </c>
      <c r="F56" s="409">
        <v>45000000</v>
      </c>
      <c r="G56" s="67">
        <f t="shared" ref="G56:G59" si="15">F56</f>
        <v>45000000</v>
      </c>
      <c r="H56" s="350">
        <v>44063</v>
      </c>
      <c r="I56" s="11">
        <f t="shared" si="9"/>
        <v>44098</v>
      </c>
      <c r="J56" s="286">
        <v>45000000</v>
      </c>
      <c r="K56" s="11">
        <v>45290</v>
      </c>
      <c r="L56" s="346">
        <v>45000000</v>
      </c>
      <c r="M56" s="346">
        <f t="shared" si="14"/>
        <v>0</v>
      </c>
      <c r="N56" s="497">
        <v>44572</v>
      </c>
      <c r="O56" s="285" t="s">
        <v>507</v>
      </c>
      <c r="T56" s="286">
        <f>M56</f>
        <v>0</v>
      </c>
    </row>
    <row r="57" spans="1:20" ht="12">
      <c r="A57" s="13">
        <v>5253</v>
      </c>
      <c r="B57" s="13" t="s">
        <v>77</v>
      </c>
      <c r="C57" s="13" t="s">
        <v>98</v>
      </c>
      <c r="D57" s="36" t="s">
        <v>94</v>
      </c>
      <c r="E57" s="36" t="s">
        <v>79</v>
      </c>
      <c r="F57" s="409">
        <v>40000000</v>
      </c>
      <c r="G57" s="67">
        <f t="shared" si="15"/>
        <v>40000000</v>
      </c>
      <c r="H57" s="350">
        <v>44063</v>
      </c>
      <c r="I57" s="11">
        <f t="shared" si="9"/>
        <v>44098</v>
      </c>
      <c r="J57" s="286">
        <v>40000000</v>
      </c>
      <c r="K57" s="11">
        <v>45290</v>
      </c>
      <c r="L57" s="346">
        <f>33000000+7000000</f>
        <v>40000000</v>
      </c>
      <c r="M57" s="346">
        <f t="shared" si="14"/>
        <v>0</v>
      </c>
      <c r="N57" s="497">
        <v>44649</v>
      </c>
      <c r="O57" s="1" t="s">
        <v>609</v>
      </c>
      <c r="P57" s="285" t="s">
        <v>610</v>
      </c>
      <c r="Q57" s="285"/>
      <c r="T57" s="286">
        <f>L57</f>
        <v>40000000</v>
      </c>
    </row>
    <row r="58" spans="1:20" ht="12">
      <c r="A58" s="13">
        <v>5254</v>
      </c>
      <c r="B58" s="13" t="s">
        <v>77</v>
      </c>
      <c r="C58" s="13" t="s">
        <v>212</v>
      </c>
      <c r="D58" s="36" t="s">
        <v>94</v>
      </c>
      <c r="E58" s="36" t="s">
        <v>79</v>
      </c>
      <c r="F58" s="409">
        <v>50000000</v>
      </c>
      <c r="G58" s="67">
        <f t="shared" si="15"/>
        <v>50000000</v>
      </c>
      <c r="H58" s="350">
        <v>44063</v>
      </c>
      <c r="I58" s="11">
        <f t="shared" si="9"/>
        <v>44098</v>
      </c>
      <c r="J58" s="286">
        <v>50000000</v>
      </c>
      <c r="K58" s="11">
        <v>45290</v>
      </c>
      <c r="L58" s="488">
        <f>8000000+8500000</f>
        <v>16500000</v>
      </c>
      <c r="M58" s="488">
        <f t="shared" si="14"/>
        <v>33500000</v>
      </c>
      <c r="N58" s="486">
        <v>44513</v>
      </c>
      <c r="O58" s="490" t="s">
        <v>405</v>
      </c>
      <c r="T58" s="286">
        <f>M58+L58</f>
        <v>50000000</v>
      </c>
    </row>
    <row r="59" spans="1:20" ht="12">
      <c r="A59" s="13">
        <v>5255</v>
      </c>
      <c r="B59" s="13" t="s">
        <v>77</v>
      </c>
      <c r="C59" s="13" t="s">
        <v>212</v>
      </c>
      <c r="D59" s="36" t="s">
        <v>94</v>
      </c>
      <c r="E59" s="36" t="s">
        <v>79</v>
      </c>
      <c r="F59" s="409">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9">
        <v>35000000</v>
      </c>
      <c r="G60" s="409">
        <v>35000000</v>
      </c>
      <c r="H60" s="350">
        <v>44082</v>
      </c>
      <c r="I60" s="11">
        <f t="shared" si="9"/>
        <v>44117</v>
      </c>
      <c r="J60" s="286">
        <v>6400000</v>
      </c>
      <c r="K60" s="11">
        <v>45290</v>
      </c>
      <c r="L60" s="346">
        <v>6400000</v>
      </c>
      <c r="M60" s="346">
        <f t="shared" si="14"/>
        <v>0</v>
      </c>
      <c r="N60" s="497">
        <v>44623</v>
      </c>
      <c r="O60" s="208" t="s">
        <v>592</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207950000</v>
      </c>
      <c r="M62" s="77">
        <f>SUM(M50:M61)</f>
        <v>126500515</v>
      </c>
      <c r="N62" s="151"/>
      <c r="T62" s="77">
        <f>SUM(T50:T61)</f>
        <v>259400515</v>
      </c>
    </row>
    <row r="63" spans="1:20" ht="12.6" thickBot="1">
      <c r="F63" s="184"/>
      <c r="G63" s="184"/>
      <c r="H63" s="184"/>
      <c r="I63" s="184"/>
      <c r="J63" s="451"/>
      <c r="K63" s="184"/>
      <c r="L63" s="447"/>
      <c r="N63" s="151"/>
    </row>
    <row r="64" spans="1:20" ht="12">
      <c r="A64" s="168" t="s">
        <v>60</v>
      </c>
      <c r="F64" s="184"/>
      <c r="G64" s="187"/>
      <c r="H64" s="151"/>
      <c r="I64" s="184"/>
      <c r="J64" s="184"/>
      <c r="K64" s="184"/>
      <c r="N64" s="151"/>
    </row>
    <row r="65" spans="1:20" ht="12">
      <c r="A65" s="13">
        <v>5268</v>
      </c>
      <c r="B65" s="13" t="s">
        <v>77</v>
      </c>
      <c r="C65" s="13" t="s">
        <v>83</v>
      </c>
      <c r="D65" s="36" t="s">
        <v>379</v>
      </c>
      <c r="E65" s="36" t="s">
        <v>82</v>
      </c>
      <c r="F65" s="452">
        <v>99275400.870000005</v>
      </c>
      <c r="G65" s="452">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917247898.33000004</v>
      </c>
      <c r="O70" s="263"/>
      <c r="P70" s="263"/>
      <c r="Q70" s="263"/>
      <c r="R70" s="263"/>
      <c r="T70" s="337">
        <f>T67+T62+T47+T22</f>
        <v>1052878964.0000001</v>
      </c>
    </row>
    <row r="71" spans="1:20" ht="12" thickTop="1">
      <c r="M71" s="196"/>
      <c r="T71" s="196"/>
    </row>
    <row r="72" spans="1:20">
      <c r="J72" s="388"/>
      <c r="L72" s="191"/>
      <c r="M72" s="196"/>
    </row>
    <row r="73" spans="1:20">
      <c r="H73" s="198"/>
      <c r="J73" s="388"/>
    </row>
    <row r="74" spans="1:20">
      <c r="H74" s="198"/>
      <c r="L74" s="191"/>
    </row>
    <row r="75" spans="1:20" ht="12">
      <c r="A75" s="13"/>
      <c r="B75" s="13"/>
      <c r="C75" s="13"/>
      <c r="D75" s="36"/>
      <c r="E75" s="36"/>
      <c r="F75" s="409"/>
      <c r="G75" s="286"/>
      <c r="H75" s="11"/>
      <c r="I75" s="11"/>
      <c r="J75" s="342"/>
      <c r="K75" s="11"/>
      <c r="L75" s="388"/>
    </row>
    <row r="76" spans="1:20">
      <c r="J76" s="356"/>
      <c r="K76" s="198"/>
      <c r="L76" s="257"/>
    </row>
    <row r="77" spans="1:20">
      <c r="J77" s="426"/>
    </row>
    <row r="78" spans="1:20">
      <c r="J78" s="426"/>
      <c r="L78" s="44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7" workbookViewId="0">
      <selection activeCell="M90" sqref="M90"/>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341</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406</v>
      </c>
    </row>
    <row r="5" spans="1:20">
      <c r="A5" s="31" t="s">
        <v>243</v>
      </c>
    </row>
    <row r="6" spans="1:20">
      <c r="A6" s="31"/>
      <c r="H6" s="198"/>
      <c r="K6" s="198"/>
    </row>
    <row r="7" spans="1:20" ht="12.75" customHeight="1">
      <c r="A7" s="31" t="s">
        <v>148</v>
      </c>
      <c r="H7" s="198"/>
      <c r="K7" s="198"/>
    </row>
    <row r="8" spans="1:20" s="4" customFormat="1">
      <c r="A8" s="31" t="s">
        <v>368</v>
      </c>
      <c r="B8" s="5" t="s">
        <v>77</v>
      </c>
      <c r="C8" s="5" t="s">
        <v>212</v>
      </c>
      <c r="D8" s="5" t="s">
        <v>370</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369</v>
      </c>
      <c r="B9" s="5" t="s">
        <v>77</v>
      </c>
      <c r="C9" s="5" t="s">
        <v>152</v>
      </c>
      <c r="D9" s="5" t="s">
        <v>332</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3">
        <f>88987474-G11</f>
        <v>0</v>
      </c>
      <c r="G14" s="196"/>
      <c r="H14" s="410"/>
      <c r="I14" s="198"/>
      <c r="T14" s="322">
        <f>SUM(T8:T13)</f>
        <v>88987474</v>
      </c>
    </row>
    <row r="15" spans="1:20">
      <c r="F15" s="191"/>
      <c r="H15" s="198"/>
      <c r="I15" s="198"/>
    </row>
    <row r="16" spans="1:20" ht="12" thickBot="1"/>
    <row r="17" spans="1:20" ht="12" customHeight="1">
      <c r="A17" s="158"/>
      <c r="B17" s="158" t="s">
        <v>342</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2">
        <f t="shared" ref="T22:T29" si="1">M22</f>
        <v>437376821</v>
      </c>
    </row>
    <row r="23" spans="1:20" ht="12">
      <c r="A23" s="13">
        <v>5398</v>
      </c>
      <c r="B23" s="13" t="s">
        <v>77</v>
      </c>
      <c r="C23" s="13" t="s">
        <v>408</v>
      </c>
      <c r="D23" s="36" t="s">
        <v>233</v>
      </c>
      <c r="E23" s="36" t="s">
        <v>389</v>
      </c>
      <c r="F23" s="286">
        <v>12000000</v>
      </c>
      <c r="G23" s="9">
        <v>12000000</v>
      </c>
      <c r="H23" s="3">
        <v>44413</v>
      </c>
      <c r="I23" s="151">
        <v>44448</v>
      </c>
      <c r="J23" s="9">
        <v>12000000</v>
      </c>
      <c r="K23" s="151">
        <v>45656</v>
      </c>
      <c r="L23" s="27">
        <v>0</v>
      </c>
      <c r="M23" s="9">
        <f t="shared" si="0"/>
        <v>12000000</v>
      </c>
      <c r="N23" s="151">
        <v>44617</v>
      </c>
      <c r="T23" s="412">
        <f t="shared" si="1"/>
        <v>12000000</v>
      </c>
    </row>
    <row r="24" spans="1:20" ht="12">
      <c r="A24" s="13">
        <v>5399</v>
      </c>
      <c r="B24" s="13" t="s">
        <v>77</v>
      </c>
      <c r="C24" s="13" t="s">
        <v>407</v>
      </c>
      <c r="D24" s="36" t="s">
        <v>233</v>
      </c>
      <c r="E24" s="36" t="s">
        <v>390</v>
      </c>
      <c r="F24" s="286">
        <v>35000000</v>
      </c>
      <c r="G24" s="9">
        <v>35000000</v>
      </c>
      <c r="H24" s="3">
        <v>44413</v>
      </c>
      <c r="I24" s="151">
        <v>44448</v>
      </c>
      <c r="J24" s="9">
        <v>35000000</v>
      </c>
      <c r="K24" s="151">
        <v>45656</v>
      </c>
      <c r="L24" s="27">
        <v>0</v>
      </c>
      <c r="M24" s="9">
        <f t="shared" si="0"/>
        <v>35000000</v>
      </c>
      <c r="N24" s="151">
        <v>44617</v>
      </c>
      <c r="T24" s="412">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2">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2">
        <f t="shared" si="1"/>
        <v>61000000</v>
      </c>
    </row>
    <row r="27" spans="1:20" ht="12">
      <c r="A27" s="13">
        <v>5402</v>
      </c>
      <c r="B27" s="13" t="s">
        <v>77</v>
      </c>
      <c r="C27" s="13" t="s">
        <v>340</v>
      </c>
      <c r="D27" s="36" t="s">
        <v>233</v>
      </c>
      <c r="E27" s="36" t="s">
        <v>166</v>
      </c>
      <c r="F27" s="286">
        <v>4000000</v>
      </c>
      <c r="G27" s="9">
        <v>4000000</v>
      </c>
      <c r="H27" s="3">
        <v>44413</v>
      </c>
      <c r="I27" s="151">
        <v>44448</v>
      </c>
      <c r="J27" s="9">
        <v>4000000</v>
      </c>
      <c r="K27" s="151">
        <v>45656</v>
      </c>
      <c r="L27" s="27">
        <v>0</v>
      </c>
      <c r="M27" s="9">
        <f t="shared" si="0"/>
        <v>4000000</v>
      </c>
      <c r="N27" s="151">
        <v>44617</v>
      </c>
      <c r="T27" s="412">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2">
        <f t="shared" si="1"/>
        <v>10000000</v>
      </c>
    </row>
    <row r="29" spans="1:20" ht="12">
      <c r="A29" s="13">
        <v>5404</v>
      </c>
      <c r="B29" s="13" t="s">
        <v>77</v>
      </c>
      <c r="C29" s="13" t="s">
        <v>411</v>
      </c>
      <c r="D29" s="36" t="s">
        <v>233</v>
      </c>
      <c r="E29" s="36" t="s">
        <v>80</v>
      </c>
      <c r="F29" s="286">
        <v>65000000</v>
      </c>
      <c r="G29" s="9">
        <v>65000000</v>
      </c>
      <c r="H29" s="3">
        <v>44413</v>
      </c>
      <c r="I29" s="151">
        <v>44448</v>
      </c>
      <c r="J29" s="9">
        <v>65000000</v>
      </c>
      <c r="K29" s="151">
        <v>45656</v>
      </c>
      <c r="L29" s="27">
        <v>0</v>
      </c>
      <c r="M29" s="9">
        <f t="shared" si="0"/>
        <v>65000000</v>
      </c>
      <c r="N29" s="151">
        <v>44617</v>
      </c>
      <c r="T29" s="412">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2">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2">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2">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2">
        <f t="shared" si="3"/>
        <v>10000000</v>
      </c>
    </row>
    <row r="34" spans="1:20" ht="12">
      <c r="A34" s="13">
        <v>5409</v>
      </c>
      <c r="B34" s="13" t="s">
        <v>316</v>
      </c>
      <c r="C34" s="13" t="s">
        <v>391</v>
      </c>
      <c r="D34" s="36" t="s">
        <v>233</v>
      </c>
      <c r="E34" s="36" t="s">
        <v>392</v>
      </c>
      <c r="F34" s="286">
        <v>30000000</v>
      </c>
      <c r="G34" s="9">
        <v>30000000</v>
      </c>
      <c r="H34" s="3">
        <v>44413</v>
      </c>
      <c r="I34" s="151">
        <v>44448</v>
      </c>
      <c r="J34" s="9">
        <v>0</v>
      </c>
      <c r="K34" s="151">
        <v>44623</v>
      </c>
      <c r="L34" s="286"/>
      <c r="M34" s="9">
        <f>J34-L34</f>
        <v>0</v>
      </c>
      <c r="N34" s="151">
        <v>44623</v>
      </c>
      <c r="O34" s="444" t="s">
        <v>594</v>
      </c>
      <c r="T34" s="408">
        <v>0</v>
      </c>
    </row>
    <row r="35" spans="1:20" ht="12">
      <c r="A35" s="13">
        <v>5410</v>
      </c>
      <c r="B35" s="13" t="s">
        <v>77</v>
      </c>
      <c r="C35" s="13" t="s">
        <v>409</v>
      </c>
      <c r="D35" s="36" t="s">
        <v>233</v>
      </c>
      <c r="E35" s="36" t="s">
        <v>392</v>
      </c>
      <c r="F35" s="286">
        <v>60000000</v>
      </c>
      <c r="G35" s="9">
        <v>60000000</v>
      </c>
      <c r="H35" s="3">
        <v>44413</v>
      </c>
      <c r="I35" s="151">
        <v>44448</v>
      </c>
      <c r="J35" s="9">
        <v>60000000</v>
      </c>
      <c r="K35" s="151">
        <v>45656</v>
      </c>
      <c r="L35" s="27">
        <v>0</v>
      </c>
      <c r="M35" s="9">
        <f>J35-L35</f>
        <v>60000000</v>
      </c>
      <c r="N35" s="151">
        <v>44617</v>
      </c>
      <c r="O35" s="444"/>
      <c r="T35" s="412">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2">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2">
        <f>M37</f>
        <v>369304460</v>
      </c>
    </row>
    <row r="38" spans="1:20" ht="12">
      <c r="A38" s="13">
        <v>5449</v>
      </c>
      <c r="B38" s="13" t="s">
        <v>316</v>
      </c>
      <c r="C38" s="13" t="s">
        <v>606</v>
      </c>
      <c r="D38" s="36" t="s">
        <v>276</v>
      </c>
      <c r="E38" s="36" t="s">
        <v>395</v>
      </c>
      <c r="F38" s="286">
        <v>25000000</v>
      </c>
      <c r="G38" s="9">
        <v>25000000</v>
      </c>
      <c r="H38" s="3">
        <v>44481</v>
      </c>
      <c r="I38" s="151">
        <v>44516</v>
      </c>
      <c r="J38" s="9">
        <v>25000000</v>
      </c>
      <c r="K38" s="151">
        <v>44691</v>
      </c>
      <c r="L38" s="286">
        <v>24827012</v>
      </c>
      <c r="M38" s="9">
        <f>J38-L38</f>
        <v>172988</v>
      </c>
      <c r="N38" s="151">
        <v>44643</v>
      </c>
      <c r="T38" s="408">
        <f>M38</f>
        <v>172988</v>
      </c>
    </row>
    <row r="39" spans="1:20" ht="12">
      <c r="A39" s="13">
        <v>5452</v>
      </c>
      <c r="B39" s="13" t="s">
        <v>316</v>
      </c>
      <c r="C39" s="13" t="s">
        <v>76</v>
      </c>
      <c r="D39" s="36" t="s">
        <v>403</v>
      </c>
      <c r="E39" s="36" t="s">
        <v>151</v>
      </c>
      <c r="F39" s="286">
        <v>250000000</v>
      </c>
      <c r="G39" s="9">
        <v>250000000</v>
      </c>
      <c r="H39" s="3">
        <v>44512</v>
      </c>
      <c r="I39" s="151">
        <v>44547</v>
      </c>
      <c r="J39" s="9">
        <v>0</v>
      </c>
      <c r="K39" s="151">
        <v>44722</v>
      </c>
      <c r="L39" s="286">
        <v>0</v>
      </c>
      <c r="M39" s="9">
        <f t="shared" ref="M39:M40" si="4">J39-L39</f>
        <v>0</v>
      </c>
      <c r="N39" s="151">
        <v>44610</v>
      </c>
      <c r="O39" s="444" t="s">
        <v>569</v>
      </c>
      <c r="T39" s="408">
        <v>0</v>
      </c>
    </row>
    <row r="40" spans="1:20" ht="12">
      <c r="A40" s="13">
        <v>5453</v>
      </c>
      <c r="B40" s="13" t="s">
        <v>316</v>
      </c>
      <c r="C40" s="13" t="s">
        <v>76</v>
      </c>
      <c r="D40" s="36" t="s">
        <v>234</v>
      </c>
      <c r="E40" s="36" t="s">
        <v>151</v>
      </c>
      <c r="F40" s="286">
        <v>250000000</v>
      </c>
      <c r="G40" s="9">
        <v>250000000</v>
      </c>
      <c r="H40" s="3">
        <v>44512</v>
      </c>
      <c r="I40" s="151">
        <v>44547</v>
      </c>
      <c r="J40" s="9">
        <v>0</v>
      </c>
      <c r="K40" s="151">
        <v>44722</v>
      </c>
      <c r="L40" s="286">
        <v>0</v>
      </c>
      <c r="M40" s="9">
        <f t="shared" si="4"/>
        <v>0</v>
      </c>
      <c r="N40" s="151">
        <v>44576</v>
      </c>
      <c r="O40" s="444" t="s">
        <v>514</v>
      </c>
      <c r="T40" s="408">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2">
        <f>M41</f>
        <v>69287675.25</v>
      </c>
    </row>
    <row r="42" spans="1:20" s="185" customFormat="1" ht="12">
      <c r="A42" s="5"/>
      <c r="B42" s="5"/>
      <c r="C42" s="5"/>
      <c r="D42" s="26"/>
      <c r="E42" s="26"/>
      <c r="F42" s="341"/>
      <c r="G42" s="123"/>
      <c r="H42" s="7"/>
      <c r="I42" s="183"/>
      <c r="J42" s="123"/>
      <c r="K42" s="183"/>
      <c r="L42" s="32"/>
      <c r="M42" s="123"/>
      <c r="N42" s="183"/>
      <c r="T42" s="62"/>
    </row>
    <row r="43" spans="1:20" ht="12">
      <c r="F43" s="449"/>
      <c r="G43" s="501"/>
      <c r="H43" s="184"/>
      <c r="I43" s="184"/>
      <c r="J43" s="192">
        <f>SUM(J22:J41)</f>
        <v>1756155765.25</v>
      </c>
      <c r="K43" s="402"/>
      <c r="L43" s="192">
        <f>SUM(L22:L41)</f>
        <v>24827012</v>
      </c>
      <c r="M43" s="192">
        <f>SUM(M22:M41)</f>
        <v>1731328753.25</v>
      </c>
      <c r="N43" s="151"/>
      <c r="T43" s="322">
        <f>SUM(T21:T42)</f>
        <v>1731328753.25</v>
      </c>
    </row>
    <row r="44" spans="1:20" ht="12.6" thickBot="1">
      <c r="F44" s="501"/>
      <c r="G44" s="501"/>
      <c r="H44" s="184"/>
      <c r="I44" s="184"/>
      <c r="J44" s="184"/>
      <c r="K44" s="184"/>
      <c r="L44" s="447"/>
      <c r="N44" s="151"/>
      <c r="T44" s="191"/>
    </row>
    <row r="45" spans="1:20" ht="12">
      <c r="A45" s="168" t="s">
        <v>94</v>
      </c>
      <c r="F45" s="501"/>
      <c r="G45" s="187"/>
      <c r="H45" s="151"/>
      <c r="I45" s="184"/>
      <c r="J45" s="451"/>
      <c r="K45" s="287"/>
      <c r="M45" s="196"/>
      <c r="N45" s="151"/>
    </row>
    <row r="46" spans="1:20" ht="12">
      <c r="A46" s="13">
        <v>5387</v>
      </c>
      <c r="B46" s="13" t="s">
        <v>77</v>
      </c>
      <c r="C46" s="13" t="s">
        <v>383</v>
      </c>
      <c r="D46" s="36" t="s">
        <v>94</v>
      </c>
      <c r="E46" s="36" t="s">
        <v>384</v>
      </c>
      <c r="F46" s="286">
        <v>35000000</v>
      </c>
      <c r="G46" s="9">
        <v>35000000</v>
      </c>
      <c r="H46" s="3">
        <v>44390</v>
      </c>
      <c r="I46" s="151">
        <v>44425</v>
      </c>
      <c r="J46" s="9">
        <v>35000000</v>
      </c>
      <c r="K46" s="151">
        <v>44925</v>
      </c>
      <c r="L46" s="27">
        <v>0</v>
      </c>
      <c r="M46" s="9">
        <f>J46-L46</f>
        <v>35000000</v>
      </c>
      <c r="N46" s="151">
        <v>44593</v>
      </c>
      <c r="T46" s="412">
        <f t="shared" ref="T46:T54" si="5">M46</f>
        <v>35000000</v>
      </c>
    </row>
    <row r="47" spans="1:20" ht="11.4" customHeight="1">
      <c r="A47" s="13">
        <v>5388</v>
      </c>
      <c r="B47" s="13" t="s">
        <v>316</v>
      </c>
      <c r="C47" s="13" t="s">
        <v>152</v>
      </c>
      <c r="D47" s="36" t="s">
        <v>358</v>
      </c>
      <c r="E47" s="36" t="s">
        <v>81</v>
      </c>
      <c r="F47" s="286">
        <v>50000000</v>
      </c>
      <c r="G47" s="9">
        <v>50000000</v>
      </c>
      <c r="H47" s="3">
        <v>44401</v>
      </c>
      <c r="I47" s="151">
        <v>44436</v>
      </c>
      <c r="J47" s="9">
        <v>50000000</v>
      </c>
      <c r="K47" s="151">
        <v>44581</v>
      </c>
      <c r="L47" s="286">
        <v>50000000</v>
      </c>
      <c r="M47" s="9">
        <f t="shared" ref="M47:M85" si="6">J47-L47</f>
        <v>0</v>
      </c>
      <c r="N47" s="151">
        <v>44586</v>
      </c>
      <c r="T47" s="408">
        <f t="shared" si="5"/>
        <v>0</v>
      </c>
    </row>
    <row r="48" spans="1:20" ht="12">
      <c r="A48" s="13">
        <v>5389</v>
      </c>
      <c r="B48" s="13" t="s">
        <v>77</v>
      </c>
      <c r="C48" s="13" t="s">
        <v>371</v>
      </c>
      <c r="D48" s="36" t="s">
        <v>94</v>
      </c>
      <c r="E48" s="36" t="s">
        <v>81</v>
      </c>
      <c r="F48" s="286">
        <v>30000000</v>
      </c>
      <c r="G48" s="9">
        <v>30000000</v>
      </c>
      <c r="H48" s="3">
        <v>44401</v>
      </c>
      <c r="I48" s="151">
        <v>44436</v>
      </c>
      <c r="J48" s="9">
        <v>30000000</v>
      </c>
      <c r="K48" s="151">
        <v>45656</v>
      </c>
      <c r="L48" s="286">
        <v>20000000</v>
      </c>
      <c r="M48" s="9">
        <f t="shared" ref="M48:M54" si="7">J48-L48</f>
        <v>10000000</v>
      </c>
      <c r="N48" s="151">
        <v>44625</v>
      </c>
      <c r="O48" s="340" t="s">
        <v>599</v>
      </c>
      <c r="T48" s="408">
        <f t="shared" si="5"/>
        <v>10000000</v>
      </c>
    </row>
    <row r="49" spans="1:20" ht="12">
      <c r="A49" s="13">
        <v>5390</v>
      </c>
      <c r="B49" s="13" t="s">
        <v>77</v>
      </c>
      <c r="C49" s="13" t="s">
        <v>354</v>
      </c>
      <c r="D49" s="36" t="s">
        <v>94</v>
      </c>
      <c r="E49" s="36" t="s">
        <v>356</v>
      </c>
      <c r="F49" s="286">
        <v>13500000</v>
      </c>
      <c r="G49" s="9">
        <v>13500000</v>
      </c>
      <c r="H49" s="3">
        <v>44401</v>
      </c>
      <c r="I49" s="151">
        <v>44436</v>
      </c>
      <c r="J49" s="9">
        <v>13500000</v>
      </c>
      <c r="K49" s="151">
        <v>45656</v>
      </c>
      <c r="L49" s="346">
        <v>13500000</v>
      </c>
      <c r="M49" s="496">
        <f t="shared" si="7"/>
        <v>0</v>
      </c>
      <c r="N49" s="497">
        <v>44581</v>
      </c>
      <c r="O49" s="498" t="s">
        <v>515</v>
      </c>
      <c r="T49" s="408">
        <f t="shared" si="5"/>
        <v>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f>
        <v>42000000</v>
      </c>
      <c r="M50" s="496">
        <f t="shared" si="7"/>
        <v>3000000</v>
      </c>
      <c r="N50" s="497">
        <v>44623</v>
      </c>
      <c r="O50" s="340" t="s">
        <v>590</v>
      </c>
      <c r="P50" s="498" t="s">
        <v>591</v>
      </c>
      <c r="T50" s="408">
        <f t="shared" si="5"/>
        <v>3000000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2">
        <f>M51</f>
        <v>20000000</v>
      </c>
    </row>
    <row r="52" spans="1:20" ht="12">
      <c r="A52" s="13">
        <v>5393</v>
      </c>
      <c r="B52" s="13" t="s">
        <v>77</v>
      </c>
      <c r="C52" s="13" t="s">
        <v>374</v>
      </c>
      <c r="D52" s="36" t="s">
        <v>94</v>
      </c>
      <c r="E52" s="36" t="s">
        <v>376</v>
      </c>
      <c r="F52" s="286">
        <v>37000000</v>
      </c>
      <c r="G52" s="9">
        <v>37000000</v>
      </c>
      <c r="H52" s="3">
        <v>44404</v>
      </c>
      <c r="I52" s="151">
        <v>44439</v>
      </c>
      <c r="J52" s="9">
        <v>37000000</v>
      </c>
      <c r="K52" s="151">
        <v>45656</v>
      </c>
      <c r="L52" s="346">
        <v>37000000</v>
      </c>
      <c r="M52" s="496">
        <f t="shared" si="7"/>
        <v>0</v>
      </c>
      <c r="N52" s="497">
        <v>44594</v>
      </c>
      <c r="O52" s="498" t="s">
        <v>533</v>
      </c>
      <c r="T52" s="408">
        <f>M52</f>
        <v>0</v>
      </c>
    </row>
    <row r="53" spans="1:20" ht="12">
      <c r="A53" s="13">
        <v>5394</v>
      </c>
      <c r="B53" s="13" t="s">
        <v>77</v>
      </c>
      <c r="C53" s="13" t="s">
        <v>251</v>
      </c>
      <c r="D53" s="36" t="s">
        <v>94</v>
      </c>
      <c r="E53" s="36" t="s">
        <v>327</v>
      </c>
      <c r="F53" s="286">
        <v>22500000</v>
      </c>
      <c r="G53" s="9">
        <v>22500000</v>
      </c>
      <c r="H53" s="3">
        <v>44404</v>
      </c>
      <c r="I53" s="151">
        <v>44439</v>
      </c>
      <c r="J53" s="9">
        <v>22500000</v>
      </c>
      <c r="K53" s="151">
        <v>45656</v>
      </c>
      <c r="L53" s="27">
        <v>18740000</v>
      </c>
      <c r="M53" s="9">
        <f t="shared" si="7"/>
        <v>3760000</v>
      </c>
      <c r="N53" s="151">
        <v>44622</v>
      </c>
      <c r="O53" s="12" t="s">
        <v>585</v>
      </c>
      <c r="T53" s="412">
        <f t="shared" si="5"/>
        <v>3760000</v>
      </c>
    </row>
    <row r="54" spans="1:20" ht="12">
      <c r="A54" s="13">
        <v>5395</v>
      </c>
      <c r="B54" s="13" t="s">
        <v>316</v>
      </c>
      <c r="C54" s="13" t="s">
        <v>249</v>
      </c>
      <c r="D54" s="36" t="s">
        <v>378</v>
      </c>
      <c r="E54" s="36" t="s">
        <v>78</v>
      </c>
      <c r="F54" s="286">
        <v>38000000</v>
      </c>
      <c r="G54" s="9">
        <v>38000000</v>
      </c>
      <c r="H54" s="3">
        <v>44404</v>
      </c>
      <c r="I54" s="151">
        <v>44439</v>
      </c>
      <c r="J54" s="9">
        <v>38000000</v>
      </c>
      <c r="K54" s="151">
        <v>44584</v>
      </c>
      <c r="L54" s="286">
        <v>38000000</v>
      </c>
      <c r="M54" s="9">
        <f t="shared" si="7"/>
        <v>0</v>
      </c>
      <c r="N54" s="151">
        <v>44595</v>
      </c>
      <c r="T54" s="408">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6">
        <f t="shared" si="6"/>
        <v>0</v>
      </c>
      <c r="N55" s="497">
        <v>44572</v>
      </c>
      <c r="O55" s="498" t="s">
        <v>505</v>
      </c>
      <c r="T55" s="408">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286">
        <v>27205000</v>
      </c>
      <c r="M56" s="9">
        <f t="shared" si="6"/>
        <v>2795000</v>
      </c>
      <c r="N56" s="151">
        <v>44646</v>
      </c>
      <c r="O56" s="340" t="s">
        <v>607</v>
      </c>
      <c r="T56" s="408">
        <f t="shared" si="8"/>
        <v>2795000</v>
      </c>
    </row>
    <row r="57" spans="1:20" ht="12">
      <c r="A57" s="13">
        <v>5414</v>
      </c>
      <c r="B57" s="13" t="s">
        <v>77</v>
      </c>
      <c r="C57" s="13" t="s">
        <v>286</v>
      </c>
      <c r="D57" s="36" t="s">
        <v>94</v>
      </c>
      <c r="E57" s="36" t="s">
        <v>80</v>
      </c>
      <c r="F57" s="286">
        <v>20000000</v>
      </c>
      <c r="G57" s="9">
        <v>20000000</v>
      </c>
      <c r="H57" s="3">
        <v>44418</v>
      </c>
      <c r="I57" s="151">
        <v>44453</v>
      </c>
      <c r="J57" s="9">
        <v>20000000</v>
      </c>
      <c r="K57" s="151">
        <v>45656</v>
      </c>
      <c r="L57" s="504">
        <v>20000000</v>
      </c>
      <c r="M57" s="496">
        <f t="shared" ref="M57:M58" si="9">J57-L57</f>
        <v>0</v>
      </c>
      <c r="N57" s="497">
        <v>44611</v>
      </c>
      <c r="O57" s="498" t="s">
        <v>574</v>
      </c>
      <c r="T57" s="412">
        <f>M57</f>
        <v>0</v>
      </c>
    </row>
    <row r="58" spans="1:20" ht="12">
      <c r="A58" s="13">
        <v>5415</v>
      </c>
      <c r="B58" s="13" t="s">
        <v>77</v>
      </c>
      <c r="C58" s="13" t="s">
        <v>286</v>
      </c>
      <c r="D58" s="36" t="s">
        <v>94</v>
      </c>
      <c r="E58" s="36" t="s">
        <v>80</v>
      </c>
      <c r="F58" s="286">
        <v>20000000</v>
      </c>
      <c r="G58" s="9">
        <v>20000000</v>
      </c>
      <c r="H58" s="3">
        <v>44418</v>
      </c>
      <c r="I58" s="151">
        <v>44453</v>
      </c>
      <c r="J58" s="9">
        <v>20000000</v>
      </c>
      <c r="K58" s="151">
        <v>45656</v>
      </c>
      <c r="L58" s="346">
        <v>20000000</v>
      </c>
      <c r="M58" s="496">
        <f t="shared" si="9"/>
        <v>0</v>
      </c>
      <c r="N58" s="497">
        <v>44611</v>
      </c>
      <c r="O58" s="498" t="s">
        <v>575</v>
      </c>
      <c r="T58" s="408">
        <f>M58</f>
        <v>0</v>
      </c>
    </row>
    <row r="59" spans="1:20" ht="12">
      <c r="A59" s="13">
        <v>5416</v>
      </c>
      <c r="B59" s="13" t="s">
        <v>316</v>
      </c>
      <c r="C59" s="13" t="s">
        <v>286</v>
      </c>
      <c r="D59" s="36" t="s">
        <v>360</v>
      </c>
      <c r="E59" s="36" t="s">
        <v>80</v>
      </c>
      <c r="F59" s="286">
        <v>30000000</v>
      </c>
      <c r="G59" s="9">
        <v>30000000</v>
      </c>
      <c r="H59" s="3">
        <v>44418</v>
      </c>
      <c r="I59" s="151">
        <v>44453</v>
      </c>
      <c r="J59" s="9">
        <v>30000000</v>
      </c>
      <c r="K59" s="151">
        <v>44598</v>
      </c>
      <c r="L59" s="286">
        <v>25500000</v>
      </c>
      <c r="M59" s="9">
        <f t="shared" si="6"/>
        <v>4500000</v>
      </c>
      <c r="N59" s="151">
        <v>44601</v>
      </c>
      <c r="T59" s="408">
        <f t="shared" si="8"/>
        <v>4500000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504">
        <v>0</v>
      </c>
      <c r="M60" s="496">
        <f t="shared" ref="M60" si="10">J60-L60</f>
        <v>69152737</v>
      </c>
      <c r="N60" s="497">
        <v>44617</v>
      </c>
      <c r="O60" s="519"/>
      <c r="T60" s="412">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4" t="s">
        <v>501</v>
      </c>
      <c r="T61" s="412">
        <v>0</v>
      </c>
    </row>
    <row r="62" spans="1:20" ht="12">
      <c r="A62" s="13">
        <v>5420</v>
      </c>
      <c r="B62" s="13" t="s">
        <v>77</v>
      </c>
      <c r="C62" s="13" t="s">
        <v>344</v>
      </c>
      <c r="D62" s="36" t="s">
        <v>94</v>
      </c>
      <c r="E62" s="36" t="s">
        <v>345</v>
      </c>
      <c r="F62" s="286">
        <v>30000000</v>
      </c>
      <c r="G62" s="9">
        <v>30000000</v>
      </c>
      <c r="H62" s="3">
        <v>44420</v>
      </c>
      <c r="I62" s="151">
        <v>44455</v>
      </c>
      <c r="J62" s="9">
        <v>30000000</v>
      </c>
      <c r="K62" s="151">
        <v>45656</v>
      </c>
      <c r="L62" s="346">
        <v>30000000</v>
      </c>
      <c r="M62" s="496">
        <f t="shared" si="6"/>
        <v>0</v>
      </c>
      <c r="N62" s="497">
        <v>44643</v>
      </c>
      <c r="O62" s="498" t="s">
        <v>605</v>
      </c>
      <c r="T62" s="408">
        <f t="shared" si="8"/>
        <v>0</v>
      </c>
    </row>
    <row r="63" spans="1:20" ht="12">
      <c r="A63" s="13">
        <v>5421</v>
      </c>
      <c r="B63" s="13" t="s">
        <v>77</v>
      </c>
      <c r="C63" s="13" t="s">
        <v>380</v>
      </c>
      <c r="D63" s="36" t="s">
        <v>94</v>
      </c>
      <c r="E63" s="36" t="s">
        <v>381</v>
      </c>
      <c r="F63" s="286">
        <v>35000000</v>
      </c>
      <c r="G63" s="9">
        <v>35000000</v>
      </c>
      <c r="H63" s="3">
        <v>44420</v>
      </c>
      <c r="I63" s="151">
        <v>44455</v>
      </c>
      <c r="J63" s="9">
        <v>35000000</v>
      </c>
      <c r="K63" s="151">
        <v>45656</v>
      </c>
      <c r="L63" s="27">
        <v>0</v>
      </c>
      <c r="M63" s="9">
        <f t="shared" si="6"/>
        <v>35000000</v>
      </c>
      <c r="N63" s="151">
        <v>44530</v>
      </c>
      <c r="T63" s="412">
        <f>M63</f>
        <v>35000000</v>
      </c>
    </row>
    <row r="64" spans="1:20" ht="12">
      <c r="A64" s="13">
        <v>5422</v>
      </c>
      <c r="B64" s="13" t="s">
        <v>316</v>
      </c>
      <c r="C64" s="13" t="s">
        <v>248</v>
      </c>
      <c r="D64" s="36" t="s">
        <v>382</v>
      </c>
      <c r="E64" s="36" t="s">
        <v>208</v>
      </c>
      <c r="F64" s="286">
        <v>22000000</v>
      </c>
      <c r="G64" s="9">
        <v>22000000</v>
      </c>
      <c r="H64" s="3">
        <v>44420</v>
      </c>
      <c r="I64" s="151">
        <v>44455</v>
      </c>
      <c r="J64" s="9">
        <v>22000000</v>
      </c>
      <c r="K64" s="151">
        <v>44600</v>
      </c>
      <c r="L64" s="286">
        <v>18000000</v>
      </c>
      <c r="M64" s="9">
        <f t="shared" ref="M64" si="11">J64-L64</f>
        <v>4000000</v>
      </c>
      <c r="N64" s="151">
        <v>44602</v>
      </c>
      <c r="T64" s="408">
        <f>M64</f>
        <v>4000000</v>
      </c>
    </row>
    <row r="65" spans="1:20" ht="12">
      <c r="A65" s="13">
        <v>5424</v>
      </c>
      <c r="B65" s="13" t="s">
        <v>77</v>
      </c>
      <c r="C65" s="13" t="s">
        <v>372</v>
      </c>
      <c r="D65" s="36" t="s">
        <v>94</v>
      </c>
      <c r="E65" s="36" t="s">
        <v>78</v>
      </c>
      <c r="F65" s="286">
        <v>69152737</v>
      </c>
      <c r="G65" s="9">
        <v>69152737</v>
      </c>
      <c r="H65" s="3">
        <v>44421</v>
      </c>
      <c r="I65" s="151">
        <v>44456</v>
      </c>
      <c r="J65" s="9">
        <f>69152737-6400000</f>
        <v>62752737</v>
      </c>
      <c r="K65" s="151">
        <v>45656</v>
      </c>
      <c r="L65" s="504">
        <v>62752737</v>
      </c>
      <c r="M65" s="496">
        <f t="shared" si="6"/>
        <v>0</v>
      </c>
      <c r="N65" s="497">
        <v>44623</v>
      </c>
      <c r="O65" s="444" t="s">
        <v>511</v>
      </c>
      <c r="P65" s="208" t="s">
        <v>593</v>
      </c>
      <c r="T65" s="412">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346">
        <v>6000000</v>
      </c>
      <c r="M66" s="496">
        <f t="shared" si="6"/>
        <v>0</v>
      </c>
      <c r="N66" s="497">
        <v>44603</v>
      </c>
      <c r="O66" s="467" t="s">
        <v>561</v>
      </c>
      <c r="T66" s="408">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346">
        <v>5000000</v>
      </c>
      <c r="M67" s="496">
        <f t="shared" si="6"/>
        <v>0</v>
      </c>
      <c r="N67" s="497">
        <v>44603</v>
      </c>
      <c r="O67" s="467" t="s">
        <v>562</v>
      </c>
      <c r="T67" s="408">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346">
        <v>30450000</v>
      </c>
      <c r="M68" s="496">
        <f t="shared" si="6"/>
        <v>50000</v>
      </c>
      <c r="N68" s="497">
        <v>44603</v>
      </c>
      <c r="O68" s="467" t="s">
        <v>563</v>
      </c>
      <c r="T68" s="408">
        <f t="shared" si="12"/>
        <v>50000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286">
        <v>0</v>
      </c>
      <c r="M69" s="9">
        <f t="shared" si="6"/>
        <v>20000000</v>
      </c>
      <c r="N69" s="151">
        <v>44572</v>
      </c>
      <c r="O69" s="444"/>
      <c r="T69" s="408">
        <f t="shared" si="12"/>
        <v>20000000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5" t="s">
        <v>500</v>
      </c>
      <c r="T70" s="408">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5"/>
      <c r="T71" s="408">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5"/>
      <c r="T72" s="408">
        <f>M72</f>
        <v>50000000</v>
      </c>
    </row>
    <row r="73" spans="1:20" ht="12">
      <c r="A73" s="13">
        <v>5433</v>
      </c>
      <c r="B73" s="13" t="s">
        <v>77</v>
      </c>
      <c r="C73" s="13" t="s">
        <v>76</v>
      </c>
      <c r="D73" s="36" t="s">
        <v>94</v>
      </c>
      <c r="E73" s="36" t="s">
        <v>396</v>
      </c>
      <c r="F73" s="286">
        <v>48000000</v>
      </c>
      <c r="G73" s="9">
        <v>48000000</v>
      </c>
      <c r="H73" s="3">
        <v>44421</v>
      </c>
      <c r="I73" s="151">
        <v>44456</v>
      </c>
      <c r="J73" s="9">
        <v>48000000</v>
      </c>
      <c r="K73" s="151">
        <v>45656</v>
      </c>
      <c r="L73" s="286">
        <v>0</v>
      </c>
      <c r="M73" s="9">
        <f t="shared" si="13"/>
        <v>48000000</v>
      </c>
      <c r="N73" s="151">
        <v>44572</v>
      </c>
      <c r="O73" s="495"/>
      <c r="T73" s="408">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4" t="s">
        <v>557</v>
      </c>
      <c r="T74" s="408">
        <f>M74</f>
        <v>5000000</v>
      </c>
    </row>
    <row r="75" spans="1:20" ht="12">
      <c r="A75" s="13">
        <v>5435</v>
      </c>
      <c r="B75" s="13" t="s">
        <v>77</v>
      </c>
      <c r="C75" s="13" t="s">
        <v>157</v>
      </c>
      <c r="D75" s="36" t="s">
        <v>94</v>
      </c>
      <c r="E75" s="36" t="s">
        <v>353</v>
      </c>
      <c r="F75" s="286">
        <v>12000000</v>
      </c>
      <c r="G75" s="9">
        <v>12000000</v>
      </c>
      <c r="H75" s="3">
        <v>44421</v>
      </c>
      <c r="I75" s="151">
        <v>44456</v>
      </c>
      <c r="J75" s="9">
        <v>12000000</v>
      </c>
      <c r="K75" s="151">
        <v>45656</v>
      </c>
      <c r="L75" s="286">
        <v>0</v>
      </c>
      <c r="M75" s="9">
        <f t="shared" si="6"/>
        <v>12000000</v>
      </c>
      <c r="N75" s="151">
        <v>44603</v>
      </c>
      <c r="O75" s="444"/>
      <c r="T75" s="408">
        <f t="shared" ref="T75:T80" si="14">M75</f>
        <v>12000000</v>
      </c>
    </row>
    <row r="76" spans="1:20" ht="12">
      <c r="A76" s="13">
        <v>5437</v>
      </c>
      <c r="B76" s="13" t="s">
        <v>77</v>
      </c>
      <c r="C76" s="13" t="s">
        <v>347</v>
      </c>
      <c r="D76" s="36" t="s">
        <v>94</v>
      </c>
      <c r="E76" s="36" t="s">
        <v>348</v>
      </c>
      <c r="F76" s="286">
        <v>18000000</v>
      </c>
      <c r="G76" s="9">
        <v>18000000</v>
      </c>
      <c r="H76" s="3">
        <v>44428</v>
      </c>
      <c r="I76" s="151">
        <v>44463</v>
      </c>
      <c r="J76" s="9">
        <v>18000000</v>
      </c>
      <c r="K76" s="151">
        <v>45656</v>
      </c>
      <c r="L76" s="504">
        <v>18000000</v>
      </c>
      <c r="M76" s="496">
        <f t="shared" si="6"/>
        <v>0</v>
      </c>
      <c r="N76" s="497">
        <v>44616</v>
      </c>
      <c r="O76" s="498" t="s">
        <v>582</v>
      </c>
      <c r="T76" s="412">
        <f t="shared" si="14"/>
        <v>0</v>
      </c>
    </row>
    <row r="77" spans="1:20" ht="12">
      <c r="A77" s="13">
        <v>5438</v>
      </c>
      <c r="B77" s="13" t="s">
        <v>77</v>
      </c>
      <c r="C77" s="13" t="s">
        <v>386</v>
      </c>
      <c r="D77" s="36" t="s">
        <v>94</v>
      </c>
      <c r="E77" s="36" t="s">
        <v>388</v>
      </c>
      <c r="F77" s="286">
        <v>22000000</v>
      </c>
      <c r="G77" s="9">
        <v>22000000</v>
      </c>
      <c r="H77" s="3">
        <v>44428</v>
      </c>
      <c r="I77" s="151">
        <v>44463</v>
      </c>
      <c r="J77" s="9">
        <v>22000000</v>
      </c>
      <c r="K77" s="151">
        <v>45656</v>
      </c>
      <c r="L77" s="346">
        <v>22000000</v>
      </c>
      <c r="M77" s="496">
        <f t="shared" si="6"/>
        <v>0</v>
      </c>
      <c r="N77" s="497">
        <v>44610</v>
      </c>
      <c r="O77" s="498" t="s">
        <v>567</v>
      </c>
      <c r="T77" s="408">
        <f t="shared" si="14"/>
        <v>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504">
        <v>60000000</v>
      </c>
      <c r="M78" s="496">
        <f t="shared" si="6"/>
        <v>0</v>
      </c>
      <c r="N78" s="497">
        <v>44587</v>
      </c>
      <c r="O78" s="498" t="s">
        <v>522</v>
      </c>
      <c r="T78" s="412">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4"/>
      <c r="P79" s="500"/>
      <c r="T79" s="412">
        <f t="shared" si="14"/>
        <v>20000000</v>
      </c>
    </row>
    <row r="80" spans="1:20" ht="12">
      <c r="A80" s="13">
        <v>5444</v>
      </c>
      <c r="B80" s="13" t="s">
        <v>77</v>
      </c>
      <c r="C80" s="13" t="s">
        <v>249</v>
      </c>
      <c r="D80" s="36" t="s">
        <v>94</v>
      </c>
      <c r="E80" s="36" t="s">
        <v>78</v>
      </c>
      <c r="F80" s="409">
        <v>40000000</v>
      </c>
      <c r="G80" s="9">
        <v>40000000</v>
      </c>
      <c r="H80" s="3">
        <v>44429</v>
      </c>
      <c r="I80" s="151">
        <v>44464</v>
      </c>
      <c r="J80" s="9">
        <v>40000000</v>
      </c>
      <c r="K80" s="151">
        <v>45656</v>
      </c>
      <c r="L80" s="504">
        <v>40000000</v>
      </c>
      <c r="M80" s="496">
        <f t="shared" si="6"/>
        <v>0</v>
      </c>
      <c r="N80" s="497">
        <v>44594</v>
      </c>
      <c r="O80" s="498" t="s">
        <v>532</v>
      </c>
      <c r="T80" s="412">
        <f t="shared" si="14"/>
        <v>0</v>
      </c>
    </row>
    <row r="81" spans="1:20" ht="12">
      <c r="A81" s="13">
        <v>5445</v>
      </c>
      <c r="B81" s="13" t="s">
        <v>316</v>
      </c>
      <c r="C81" s="13" t="s">
        <v>365</v>
      </c>
      <c r="D81" s="36" t="s">
        <v>366</v>
      </c>
      <c r="E81" s="36" t="s">
        <v>79</v>
      </c>
      <c r="F81" s="409">
        <v>60000000</v>
      </c>
      <c r="G81" s="9">
        <v>60000000</v>
      </c>
      <c r="H81" s="3">
        <v>44442</v>
      </c>
      <c r="I81" s="151">
        <v>44477</v>
      </c>
      <c r="J81" s="9">
        <v>0</v>
      </c>
      <c r="K81" s="151">
        <f>H81+180</f>
        <v>44622</v>
      </c>
      <c r="L81" s="286">
        <v>0</v>
      </c>
      <c r="M81" s="9">
        <f t="shared" si="6"/>
        <v>0</v>
      </c>
      <c r="N81" s="151">
        <v>44624</v>
      </c>
      <c r="O81" s="444" t="s">
        <v>597</v>
      </c>
      <c r="T81" s="408">
        <v>0</v>
      </c>
    </row>
    <row r="82" spans="1:20" ht="12">
      <c r="A82" s="13">
        <v>5446</v>
      </c>
      <c r="B82" s="13" t="s">
        <v>77</v>
      </c>
      <c r="C82" s="13" t="s">
        <v>308</v>
      </c>
      <c r="D82" s="36" t="s">
        <v>94</v>
      </c>
      <c r="E82" s="36" t="s">
        <v>80</v>
      </c>
      <c r="F82" s="409">
        <v>50000000</v>
      </c>
      <c r="G82" s="9">
        <v>50000000</v>
      </c>
      <c r="H82" s="3">
        <v>44448</v>
      </c>
      <c r="I82" s="151">
        <v>44483</v>
      </c>
      <c r="J82" s="9">
        <v>0</v>
      </c>
      <c r="K82" s="151">
        <v>44628</v>
      </c>
      <c r="L82" s="27">
        <v>0</v>
      </c>
      <c r="M82" s="9">
        <f t="shared" si="6"/>
        <v>0</v>
      </c>
      <c r="N82" s="151">
        <v>44586</v>
      </c>
      <c r="O82" s="444" t="s">
        <v>520</v>
      </c>
      <c r="T82" s="412">
        <v>0</v>
      </c>
    </row>
    <row r="83" spans="1:20" ht="12">
      <c r="A83" s="13">
        <v>5451</v>
      </c>
      <c r="B83" s="13" t="s">
        <v>316</v>
      </c>
      <c r="C83" s="13" t="s">
        <v>98</v>
      </c>
      <c r="D83" s="36" t="s">
        <v>402</v>
      </c>
      <c r="E83" s="36" t="s">
        <v>79</v>
      </c>
      <c r="F83" s="409">
        <v>33000000</v>
      </c>
      <c r="G83" s="9">
        <v>33000000</v>
      </c>
      <c r="H83" s="3">
        <v>44509</v>
      </c>
      <c r="I83" s="151">
        <v>44544</v>
      </c>
      <c r="J83" s="9">
        <v>0</v>
      </c>
      <c r="K83" s="151">
        <v>44689</v>
      </c>
      <c r="L83" s="286">
        <v>0</v>
      </c>
      <c r="M83" s="9">
        <f t="shared" si="6"/>
        <v>0</v>
      </c>
      <c r="N83" s="151">
        <v>44649</v>
      </c>
      <c r="O83" s="444" t="s">
        <v>608</v>
      </c>
      <c r="T83" s="408">
        <v>0</v>
      </c>
    </row>
    <row r="84" spans="1:20" s="185" customFormat="1" ht="12">
      <c r="A84" s="5">
        <v>5455</v>
      </c>
      <c r="B84" s="5" t="s">
        <v>77</v>
      </c>
      <c r="C84" s="5" t="s">
        <v>212</v>
      </c>
      <c r="D84" s="26" t="s">
        <v>328</v>
      </c>
      <c r="E84" s="26" t="s">
        <v>79</v>
      </c>
      <c r="F84" s="344">
        <v>8000000</v>
      </c>
      <c r="G84" s="123">
        <v>8000000</v>
      </c>
      <c r="H84" s="7">
        <v>44513</v>
      </c>
      <c r="I84" s="183">
        <v>44548</v>
      </c>
      <c r="J84" s="123">
        <v>8000000</v>
      </c>
      <c r="K84" s="183">
        <v>44693</v>
      </c>
      <c r="L84" s="32">
        <v>0</v>
      </c>
      <c r="M84" s="123">
        <f t="shared" si="6"/>
        <v>8000000</v>
      </c>
      <c r="N84" s="183">
        <v>44548</v>
      </c>
      <c r="O84" s="444" t="s">
        <v>413</v>
      </c>
      <c r="T84" s="62">
        <v>0</v>
      </c>
    </row>
    <row r="85" spans="1:20" s="185" customFormat="1" ht="12">
      <c r="A85" s="5">
        <v>5456</v>
      </c>
      <c r="B85" s="5" t="s">
        <v>77</v>
      </c>
      <c r="C85" s="5" t="s">
        <v>212</v>
      </c>
      <c r="D85" s="26" t="s">
        <v>404</v>
      </c>
      <c r="E85" s="26" t="s">
        <v>269</v>
      </c>
      <c r="F85" s="344">
        <v>8500000</v>
      </c>
      <c r="G85" s="123">
        <v>8500000</v>
      </c>
      <c r="H85" s="7">
        <v>44513</v>
      </c>
      <c r="I85" s="183">
        <v>44548</v>
      </c>
      <c r="J85" s="123">
        <v>8500000</v>
      </c>
      <c r="K85" s="183">
        <v>44693</v>
      </c>
      <c r="L85" s="32">
        <v>0</v>
      </c>
      <c r="M85" s="123">
        <f t="shared" si="6"/>
        <v>8500000</v>
      </c>
      <c r="N85" s="183">
        <v>44548</v>
      </c>
      <c r="O85" s="444" t="s">
        <v>412</v>
      </c>
      <c r="T85" s="62">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1026855474</v>
      </c>
      <c r="K87" s="7"/>
      <c r="L87" s="77">
        <f>SUM(L46:L85)</f>
        <v>620647737</v>
      </c>
      <c r="M87" s="77">
        <f>SUM(M46:M85)</f>
        <v>406207737</v>
      </c>
      <c r="N87" s="151"/>
      <c r="T87" s="77">
        <f>SUM(T46:T85)</f>
        <v>389707737</v>
      </c>
    </row>
    <row r="88" spans="1:20" ht="12">
      <c r="G88" s="447"/>
      <c r="I88" s="196"/>
      <c r="N88" s="151"/>
    </row>
    <row r="90" spans="1:20" ht="12.6" thickBot="1">
      <c r="G90" s="191"/>
      <c r="J90" s="339">
        <f>F14+J43+J87</f>
        <v>2783011239.25</v>
      </c>
      <c r="M90" s="339">
        <f>M87+M43+J11</f>
        <v>2226523964.25</v>
      </c>
      <c r="O90" s="263"/>
      <c r="P90" s="263"/>
      <c r="Q90" s="263"/>
      <c r="R90" s="263"/>
      <c r="T90" s="337">
        <f>T87+T43+F14</f>
        <v>2121036490.25</v>
      </c>
    </row>
    <row r="91" spans="1:20" ht="12" thickTop="1">
      <c r="M91" s="196"/>
    </row>
    <row r="92" spans="1:20">
      <c r="J92" s="196"/>
    </row>
    <row r="93" spans="1:20">
      <c r="H93" s="198"/>
      <c r="J93" s="447"/>
      <c r="L93" s="388"/>
    </row>
    <row r="94" spans="1:20" ht="12">
      <c r="A94" s="13"/>
      <c r="B94" s="13"/>
      <c r="C94" s="13"/>
      <c r="D94" s="36"/>
      <c r="E94" s="36"/>
      <c r="F94" s="409"/>
      <c r="H94" s="198"/>
      <c r="L94" s="388"/>
    </row>
    <row r="95" spans="1:20" ht="12">
      <c r="A95" s="13"/>
      <c r="B95" s="13"/>
      <c r="C95" s="13"/>
      <c r="D95" s="36"/>
      <c r="E95" s="36"/>
      <c r="F95" s="409"/>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6"/>
      <c r="B6" s="485"/>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4"/>
      <c r="C7" s="432"/>
      <c r="D7" s="432"/>
      <c r="E7" s="432"/>
      <c r="F7" s="432"/>
      <c r="G7" s="432"/>
      <c r="H7" s="432"/>
      <c r="I7" s="432"/>
      <c r="J7" s="432"/>
      <c r="K7" s="432"/>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233259099.99999997</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265990165.66999996</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100000000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367</v>
      </c>
      <c r="B51" s="9">
        <f>'2024 CF'!M70</f>
        <v>917247898.33000004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417</v>
      </c>
      <c r="B52" s="9">
        <f>'2025 CF'!M90</f>
        <v>2226523964.25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4069507331.0499997</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7">
        <f>'SC1 MRB'!H16+'SC2 State Voted'!H14+'SC3 Small Issue IDBs'!H14+'SC4 TSAHC'!H14+'SC4 MF- TDHCA'!H15+'SC4 MF- Local Collapse'!H19+'SC5 OTHER'!H55</f>
        <v>2959786260</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8"/>
    </row>
    <row r="10" spans="1:21" s="13" customFormat="1">
      <c r="F10" s="36"/>
      <c r="G10" s="36"/>
      <c r="H10" s="409"/>
      <c r="I10" s="286"/>
      <c r="J10" s="409"/>
      <c r="K10" s="67"/>
      <c r="L10" s="350"/>
      <c r="M10" s="350"/>
      <c r="N10" s="286"/>
      <c r="O10" s="350"/>
      <c r="P10" s="286"/>
      <c r="Q10" s="67"/>
      <c r="R10" s="11"/>
      <c r="S10" s="67"/>
    </row>
    <row r="11" spans="1:21" s="474" customFormat="1">
      <c r="F11" s="475"/>
      <c r="G11" s="475"/>
      <c r="H11" s="479"/>
      <c r="I11" s="476"/>
      <c r="J11" s="479"/>
      <c r="K11" s="482"/>
      <c r="L11" s="477"/>
      <c r="M11" s="477"/>
      <c r="N11" s="480"/>
      <c r="O11" s="477"/>
      <c r="P11" s="476"/>
      <c r="Q11" s="482"/>
      <c r="R11" s="478"/>
      <c r="U11" s="439"/>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3">
        <f>E1-K13+Q13+G28</f>
        <v>2959786260</v>
      </c>
      <c r="I17" s="9"/>
      <c r="J17" s="9"/>
      <c r="K17" s="9"/>
      <c r="N17" s="82"/>
      <c r="P17" s="9"/>
      <c r="Q17" s="82"/>
    </row>
    <row r="18" spans="1:19">
      <c r="H18" s="321" t="s">
        <v>418</v>
      </c>
      <c r="N18" s="82"/>
    </row>
    <row r="19" spans="1:19">
      <c r="H19" s="355"/>
      <c r="J19" s="9"/>
      <c r="N19" s="82"/>
      <c r="O19" s="1"/>
      <c r="S19" s="1"/>
    </row>
    <row r="20" spans="1:19">
      <c r="H20" s="2"/>
      <c r="J20" s="9"/>
      <c r="N20" s="82"/>
      <c r="O20" s="1"/>
      <c r="S20" s="1"/>
    </row>
    <row r="21" spans="1:19">
      <c r="A21" s="13"/>
      <c r="B21" s="13"/>
      <c r="C21" s="43"/>
      <c r="D21" s="43"/>
      <c r="E21" s="147"/>
      <c r="F21" s="13"/>
      <c r="G21" s="429"/>
      <c r="H21" s="467"/>
      <c r="I21" s="285"/>
      <c r="K21" s="82"/>
      <c r="M21" s="1"/>
      <c r="O21" s="1"/>
      <c r="S21" s="1"/>
    </row>
    <row r="22" spans="1:19">
      <c r="A22" s="13"/>
      <c r="B22" s="13"/>
      <c r="C22" s="43"/>
      <c r="D22" s="43"/>
      <c r="E22" s="147"/>
      <c r="F22" s="13"/>
      <c r="G22" s="429"/>
      <c r="H22" s="467"/>
      <c r="I22" s="285"/>
      <c r="M22" s="1"/>
      <c r="O22" s="1"/>
      <c r="S22" s="1"/>
    </row>
    <row r="23" spans="1:19">
      <c r="A23" s="13"/>
      <c r="B23" s="13"/>
      <c r="C23" s="43"/>
      <c r="D23" s="43"/>
      <c r="E23" s="147"/>
      <c r="F23" s="13"/>
      <c r="G23" s="429"/>
      <c r="H23" s="208"/>
      <c r="I23" s="285"/>
      <c r="M23" s="1"/>
      <c r="N23" s="82"/>
      <c r="O23" s="1"/>
      <c r="S23" s="1"/>
    </row>
    <row r="24" spans="1:19">
      <c r="A24" s="13"/>
      <c r="B24" s="13"/>
      <c r="C24" s="43"/>
      <c r="D24" s="43"/>
      <c r="E24" s="147"/>
      <c r="F24" s="13"/>
      <c r="G24" s="472"/>
      <c r="H24" s="208"/>
      <c r="I24" s="285"/>
      <c r="M24" s="1"/>
      <c r="N24" s="82"/>
      <c r="O24" s="1"/>
      <c r="S24" s="1"/>
    </row>
    <row r="25" spans="1:19">
      <c r="A25" s="13"/>
      <c r="B25" s="13"/>
      <c r="C25" s="43"/>
      <c r="D25" s="43"/>
      <c r="E25" s="147"/>
      <c r="F25" s="13"/>
      <c r="G25" s="472"/>
      <c r="H25" s="208"/>
      <c r="I25" s="285"/>
      <c r="M25" s="1"/>
      <c r="N25" s="82"/>
      <c r="O25" s="1"/>
      <c r="S25" s="1"/>
    </row>
    <row r="26" spans="1:19">
      <c r="A26" s="13"/>
      <c r="B26" s="13"/>
      <c r="C26" s="43"/>
      <c r="D26" s="43"/>
      <c r="E26" s="147"/>
      <c r="F26" s="13"/>
      <c r="G26" s="472"/>
      <c r="H26" s="208"/>
      <c r="I26" s="285"/>
      <c r="M26" s="1"/>
      <c r="N26" s="82"/>
      <c r="O26" s="1"/>
      <c r="S26" s="1"/>
    </row>
    <row r="27" spans="1:19">
      <c r="A27" s="13"/>
      <c r="B27" s="13"/>
      <c r="C27" s="43"/>
      <c r="D27" s="43"/>
      <c r="E27" s="147"/>
      <c r="F27" s="13"/>
      <c r="G27" s="481"/>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36"/>
  <sheetViews>
    <sheetView zoomScaleNormal="100" workbookViewId="0">
      <selection activeCell="H16" sqref="H16"/>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875" style="1" customWidth="1"/>
    <col min="8" max="8" width="16"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f>
        <v>782228884</v>
      </c>
      <c r="O2" s="54">
        <f>N2</f>
        <v>782228884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13" customFormat="1" ht="13.2">
      <c r="E9" s="36"/>
      <c r="F9" s="36"/>
      <c r="G9" s="36"/>
      <c r="H9" s="413"/>
      <c r="I9" s="414"/>
      <c r="J9" s="413"/>
      <c r="K9" s="413"/>
      <c r="L9" s="11"/>
      <c r="M9" s="11"/>
      <c r="N9" s="413"/>
      <c r="O9" s="11"/>
      <c r="P9" s="457"/>
      <c r="Q9" s="413"/>
      <c r="R9" s="11"/>
      <c r="S9" s="439"/>
      <c r="T9" s="169"/>
    </row>
    <row r="10" spans="1:21" s="13" customFormat="1" ht="13.2">
      <c r="E10" s="36"/>
      <c r="F10" s="36"/>
      <c r="G10" s="36"/>
      <c r="H10" s="413"/>
      <c r="I10" s="414"/>
      <c r="J10" s="413"/>
      <c r="K10" s="413"/>
      <c r="L10" s="11"/>
      <c r="M10" s="11"/>
      <c r="N10" s="413"/>
      <c r="O10" s="11"/>
      <c r="P10" s="413"/>
      <c r="Q10" s="413"/>
      <c r="R10" s="11"/>
      <c r="S10" s="439"/>
      <c r="T10" s="169"/>
    </row>
    <row r="11" spans="1:21" s="13" customFormat="1" ht="13.2">
      <c r="E11" s="36"/>
      <c r="F11" s="36"/>
      <c r="G11" s="36"/>
      <c r="H11" s="413"/>
      <c r="I11" s="414"/>
      <c r="J11" s="413"/>
      <c r="K11" s="413"/>
      <c r="L11" s="11"/>
      <c r="M11" s="11"/>
      <c r="N11" s="457"/>
      <c r="O11" s="11"/>
      <c r="P11" s="413"/>
      <c r="Q11" s="457"/>
      <c r="R11" s="11"/>
      <c r="S11" s="439"/>
      <c r="T11" s="169"/>
    </row>
    <row r="12" spans="1:21" s="13" customFormat="1">
      <c r="A12" s="43"/>
      <c r="B12" s="43"/>
      <c r="C12" s="43"/>
      <c r="D12" s="43"/>
      <c r="E12" s="1"/>
      <c r="F12" s="13" t="s">
        <v>19</v>
      </c>
      <c r="H12" s="261">
        <f>SUM(H9:H11)</f>
        <v>0</v>
      </c>
      <c r="I12" s="66"/>
      <c r="J12" s="261">
        <f>SUM(J9:J11)</f>
        <v>0</v>
      </c>
      <c r="K12" s="261">
        <f>SUM(K9:K11)</f>
        <v>0</v>
      </c>
      <c r="L12" s="11"/>
      <c r="M12" s="10"/>
      <c r="N12" s="261">
        <f>SUM(N9:N11)</f>
        <v>0</v>
      </c>
      <c r="O12" s="11"/>
      <c r="P12" s="261">
        <f>SUM(P9:P11)</f>
        <v>0</v>
      </c>
      <c r="Q12" s="261">
        <f>SUM(Q9:Q11)</f>
        <v>0</v>
      </c>
    </row>
    <row r="13" spans="1:21">
      <c r="A13" s="5"/>
      <c r="B13" s="5"/>
      <c r="C13" s="5"/>
      <c r="D13" s="87"/>
      <c r="F13" s="13"/>
      <c r="H13" s="76"/>
      <c r="I13" s="1"/>
      <c r="J13" s="11"/>
      <c r="K13" s="11"/>
      <c r="L13" s="11"/>
      <c r="M13" s="6"/>
      <c r="N13" s="1"/>
      <c r="O13" s="11"/>
      <c r="P13" s="1"/>
      <c r="Q13" s="13"/>
    </row>
    <row r="14" spans="1:21">
      <c r="A14" s="5"/>
      <c r="B14" s="5"/>
      <c r="C14" s="5"/>
      <c r="E14" s="5"/>
      <c r="F14" s="13" t="s">
        <v>43</v>
      </c>
      <c r="G14" s="5"/>
      <c r="H14" s="34">
        <f>J12-K12</f>
        <v>0</v>
      </c>
      <c r="I14" s="9"/>
      <c r="J14" s="1"/>
      <c r="K14" s="1"/>
      <c r="L14" s="9"/>
      <c r="N14" s="1"/>
      <c r="O14" s="3"/>
      <c r="P14" s="1"/>
      <c r="Q14" s="13"/>
    </row>
    <row r="15" spans="1:21">
      <c r="A15" s="5"/>
      <c r="B15" s="5"/>
      <c r="C15" s="5"/>
      <c r="E15" s="5"/>
      <c r="G15" s="5"/>
      <c r="H15" s="67"/>
      <c r="I15" s="9"/>
      <c r="J15" s="1"/>
      <c r="K15" s="166"/>
      <c r="L15" s="9"/>
      <c r="N15" s="1"/>
      <c r="O15" s="3"/>
      <c r="P15" s="1"/>
      <c r="Q15" s="13"/>
    </row>
    <row r="16" spans="1:21">
      <c r="A16" s="5"/>
      <c r="B16" s="5"/>
      <c r="C16" s="5"/>
      <c r="E16" s="132"/>
      <c r="F16" s="58" t="s">
        <v>10</v>
      </c>
      <c r="G16" s="5"/>
      <c r="H16" s="77">
        <f>E1-K12+Q12+G21</f>
        <v>1380566332</v>
      </c>
      <c r="I16" s="193"/>
      <c r="J16" s="170"/>
      <c r="K16" s="470"/>
      <c r="L16" s="9"/>
      <c r="M16" s="166"/>
      <c r="N16" s="82"/>
      <c r="P16" s="1"/>
      <c r="Q16" s="13"/>
    </row>
    <row r="17" spans="1:17">
      <c r="E17" s="58"/>
      <c r="F17" s="5"/>
      <c r="G17" s="5"/>
      <c r="H17" s="420"/>
      <c r="I17" s="193"/>
      <c r="J17" s="395"/>
      <c r="K17" s="471"/>
      <c r="L17" s="9"/>
      <c r="M17" s="167"/>
      <c r="N17" s="82"/>
      <c r="Q17" s="1"/>
    </row>
    <row r="18" spans="1:17">
      <c r="E18" s="58"/>
      <c r="F18" s="4"/>
      <c r="G18" s="123"/>
      <c r="H18" s="123"/>
      <c r="I18" s="186"/>
      <c r="J18" s="186"/>
      <c r="K18" s="356"/>
      <c r="L18" s="82"/>
      <c r="M18" s="166"/>
      <c r="N18" s="1"/>
      <c r="O18" s="170"/>
      <c r="P18" s="9"/>
      <c r="Q18" s="1"/>
    </row>
    <row r="19" spans="1:17">
      <c r="I19" s="186"/>
      <c r="J19" s="186"/>
      <c r="K19" s="388"/>
      <c r="L19" s="82"/>
      <c r="M19" s="166"/>
      <c r="N19" s="1"/>
      <c r="O19" s="170"/>
      <c r="P19" s="9"/>
      <c r="Q19" s="1"/>
    </row>
    <row r="20" spans="1:17">
      <c r="A20" s="13"/>
      <c r="B20" s="13"/>
      <c r="C20" s="13"/>
      <c r="D20" s="13"/>
      <c r="E20" s="13"/>
      <c r="F20" s="13"/>
      <c r="G20" s="464"/>
      <c r="H20" s="285"/>
      <c r="I20" s="399"/>
      <c r="J20" s="170"/>
      <c r="K20" s="170"/>
      <c r="L20" s="82"/>
      <c r="M20" s="170"/>
      <c r="N20" s="1"/>
      <c r="O20" s="166"/>
      <c r="Q20" s="1"/>
    </row>
    <row r="21" spans="1:17">
      <c r="E21" s="147"/>
      <c r="F21" s="132"/>
      <c r="G21" s="308">
        <f>SUM(G20:G20)</f>
        <v>0</v>
      </c>
      <c r="H21" s="123"/>
      <c r="I21" s="188"/>
      <c r="K21" s="393"/>
      <c r="L21" s="82"/>
      <c r="M21" s="166"/>
      <c r="N21" s="1"/>
      <c r="Q21" s="1"/>
    </row>
    <row r="22" spans="1:17">
      <c r="E22" s="58"/>
      <c r="F22" s="132"/>
      <c r="G22" s="465"/>
      <c r="H22" s="123"/>
      <c r="I22" s="190"/>
      <c r="K22" s="394"/>
      <c r="L22" s="9"/>
      <c r="N22" s="1"/>
      <c r="Q22" s="1"/>
    </row>
    <row r="23" spans="1:17">
      <c r="G23" s="259"/>
      <c r="I23" s="170"/>
      <c r="K23" s="166"/>
      <c r="L23" s="3"/>
      <c r="Q23" s="1"/>
    </row>
    <row r="24" spans="1:17">
      <c r="G24" s="249"/>
      <c r="H24" s="359"/>
      <c r="I24" s="193"/>
      <c r="K24" s="264"/>
      <c r="Q24" s="1"/>
    </row>
    <row r="25" spans="1:17">
      <c r="G25" s="249"/>
      <c r="H25" s="1"/>
      <c r="I25" s="193"/>
      <c r="K25" s="264"/>
      <c r="Q25" s="1"/>
    </row>
    <row r="26" spans="1:17">
      <c r="H26" s="1"/>
      <c r="I26" s="193"/>
      <c r="K26" s="264"/>
      <c r="Q26" s="1"/>
    </row>
    <row r="27" spans="1:17">
      <c r="H27" s="203"/>
      <c r="I27" s="193"/>
      <c r="Q27" s="1"/>
    </row>
    <row r="28" spans="1:17">
      <c r="H28" s="73"/>
      <c r="I28" s="193"/>
      <c r="Q28" s="1"/>
    </row>
    <row r="29" spans="1:17">
      <c r="H29" s="73"/>
      <c r="I29" s="193"/>
    </row>
    <row r="30" spans="1:17">
      <c r="H30" s="71"/>
    </row>
    <row r="31" spans="1:17">
      <c r="H31" s="73"/>
    </row>
    <row r="32" spans="1:17">
      <c r="H32" s="463"/>
    </row>
    <row r="33" spans="6:17">
      <c r="H33" s="73"/>
    </row>
    <row r="34" spans="6:17">
      <c r="F34" s="1" t="s">
        <v>7</v>
      </c>
      <c r="H34" s="73"/>
      <c r="I34" s="1"/>
      <c r="J34" s="1"/>
      <c r="K34" s="1"/>
      <c r="N34" s="1"/>
      <c r="P34" s="1"/>
      <c r="Q34" s="1"/>
    </row>
    <row r="35" spans="6:17">
      <c r="H35" s="203"/>
    </row>
    <row r="36" spans="6:17">
      <c r="H36"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33" customFormat="1">
      <c r="A7" s="290" t="s">
        <v>146</v>
      </c>
      <c r="B7" s="290" t="s">
        <v>146</v>
      </c>
      <c r="C7" s="290">
        <v>5463</v>
      </c>
      <c r="D7" s="533" t="s">
        <v>315</v>
      </c>
      <c r="E7" s="533" t="s">
        <v>303</v>
      </c>
      <c r="F7" s="534" t="s">
        <v>423</v>
      </c>
      <c r="G7" s="533" t="s">
        <v>151</v>
      </c>
      <c r="H7" s="503">
        <v>100000000</v>
      </c>
      <c r="I7" s="503">
        <f>H7</f>
        <v>100000000</v>
      </c>
      <c r="J7" s="535">
        <v>44589</v>
      </c>
      <c r="K7" s="535">
        <f>J7+35</f>
        <v>44624</v>
      </c>
      <c r="L7" s="539">
        <v>0</v>
      </c>
      <c r="M7" s="535">
        <f>J7+210</f>
        <v>44799</v>
      </c>
      <c r="N7" s="540"/>
      <c r="O7" s="539">
        <f>I7-L7</f>
        <v>100000000</v>
      </c>
      <c r="P7" s="535">
        <v>44624</v>
      </c>
      <c r="Q7" s="536"/>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7"/>
      <c r="E9" s="43"/>
      <c r="F9" s="147"/>
      <c r="G9" s="147"/>
      <c r="H9" s="59"/>
      <c r="I9" s="59"/>
      <c r="J9" s="151"/>
      <c r="K9" s="151"/>
      <c r="L9" s="438"/>
      <c r="M9" s="151"/>
      <c r="N9" s="438"/>
      <c r="O9" s="438"/>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504</v>
      </c>
      <c r="E7" s="88" t="s">
        <v>149</v>
      </c>
      <c r="F7" s="89" t="s">
        <v>362</v>
      </c>
      <c r="G7" s="89" t="s">
        <v>79</v>
      </c>
      <c r="H7" s="506">
        <v>16500000</v>
      </c>
      <c r="I7" s="506">
        <f>H7</f>
        <v>16500000</v>
      </c>
      <c r="J7" s="91">
        <v>44572</v>
      </c>
      <c r="K7" s="91">
        <f>J7+35</f>
        <v>44607</v>
      </c>
      <c r="L7" s="507">
        <v>16500000</v>
      </c>
      <c r="M7" s="91">
        <f>J7+180</f>
        <v>44752</v>
      </c>
      <c r="N7" s="507"/>
      <c r="O7" s="507"/>
      <c r="P7" s="91"/>
      <c r="Q7" s="89" t="s">
        <v>255</v>
      </c>
      <c r="S7" s="508" t="s">
        <v>506</v>
      </c>
    </row>
    <row r="8" spans="1:22">
      <c r="E8" s="36"/>
      <c r="H8" s="461"/>
      <c r="I8" s="461"/>
      <c r="J8" s="11"/>
      <c r="K8" s="11"/>
      <c r="L8" s="409"/>
      <c r="M8" s="11"/>
      <c r="N8" s="409"/>
      <c r="O8" s="409"/>
      <c r="P8" s="11"/>
      <c r="S8" s="466"/>
    </row>
    <row r="9" spans="1:22">
      <c r="E9" s="36"/>
      <c r="H9" s="461"/>
      <c r="I9" s="461"/>
      <c r="J9" s="11"/>
      <c r="K9" s="11"/>
      <c r="L9" s="409"/>
      <c r="M9" s="11"/>
      <c r="N9" s="409"/>
      <c r="O9" s="409"/>
      <c r="P9" s="11"/>
      <c r="S9" s="466"/>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8">
        <v>16500000</v>
      </c>
      <c r="H17" s="379" t="s">
        <v>505</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3"/>
  <sheetViews>
    <sheetView zoomScaleNormal="100" workbookViewId="0">
      <pane ySplit="6" topLeftCell="A7" activePane="bottomLeft" state="frozen"/>
      <selection activeCell="K30" sqref="I28:K30"/>
      <selection pane="bottomLeft" activeCell="H15" sqref="H1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13" t="s">
        <v>146</v>
      </c>
      <c r="B7" s="13" t="s">
        <v>146</v>
      </c>
      <c r="C7" s="13">
        <v>5461</v>
      </c>
      <c r="D7" s="13" t="s">
        <v>316</v>
      </c>
      <c r="E7" s="13" t="s">
        <v>76</v>
      </c>
      <c r="F7" s="13" t="s">
        <v>519</v>
      </c>
      <c r="G7" s="13" t="s">
        <v>78</v>
      </c>
      <c r="H7" s="286">
        <v>5000000</v>
      </c>
      <c r="I7" s="286">
        <f>H7</f>
        <v>5000000</v>
      </c>
      <c r="J7" s="11">
        <v>44587</v>
      </c>
      <c r="K7" s="11">
        <f>J7+35</f>
        <v>44622</v>
      </c>
      <c r="L7" s="286">
        <v>5000000</v>
      </c>
      <c r="M7" s="11">
        <f>J7+180</f>
        <v>44767</v>
      </c>
      <c r="N7" s="286">
        <v>0</v>
      </c>
      <c r="O7" s="286">
        <f>L7-N7</f>
        <v>5000000</v>
      </c>
      <c r="P7" s="11">
        <v>44624</v>
      </c>
      <c r="Q7" s="13" t="s">
        <v>206</v>
      </c>
      <c r="R7" s="538" t="s">
        <v>521</v>
      </c>
      <c r="S7" s="439" t="s">
        <v>524</v>
      </c>
    </row>
    <row r="8" spans="1:22" s="5" customFormat="1" ht="11.4">
      <c r="A8" s="5" t="s">
        <v>146</v>
      </c>
      <c r="B8" s="5" t="s">
        <v>146</v>
      </c>
      <c r="C8" s="5">
        <v>5471</v>
      </c>
      <c r="D8" s="5" t="s">
        <v>504</v>
      </c>
      <c r="E8" s="5" t="s">
        <v>76</v>
      </c>
      <c r="F8" s="5" t="s">
        <v>373</v>
      </c>
      <c r="G8" s="5" t="s">
        <v>78</v>
      </c>
      <c r="H8" s="341">
        <v>6000000</v>
      </c>
      <c r="I8" s="341">
        <f>H8</f>
        <v>6000000</v>
      </c>
      <c r="J8" s="6">
        <v>44595</v>
      </c>
      <c r="K8" s="6">
        <f>J8+35</f>
        <v>44630</v>
      </c>
      <c r="L8" s="341">
        <v>6000000</v>
      </c>
      <c r="M8" s="6">
        <f>J8+180</f>
        <v>44775</v>
      </c>
      <c r="N8" s="341"/>
      <c r="O8" s="341"/>
      <c r="P8" s="6"/>
      <c r="Q8" s="5" t="s">
        <v>247</v>
      </c>
      <c r="R8" s="522" t="s">
        <v>544</v>
      </c>
      <c r="S8" s="371" t="s">
        <v>524</v>
      </c>
    </row>
    <row r="9" spans="1:22" s="89" customFormat="1" ht="11.4">
      <c r="A9" s="89" t="s">
        <v>146</v>
      </c>
      <c r="B9" s="89" t="s">
        <v>146</v>
      </c>
      <c r="C9" s="89">
        <v>5505</v>
      </c>
      <c r="D9" s="89" t="s">
        <v>504</v>
      </c>
      <c r="E9" s="89" t="s">
        <v>76</v>
      </c>
      <c r="F9" s="89" t="s">
        <v>556</v>
      </c>
      <c r="G9" s="89" t="s">
        <v>396</v>
      </c>
      <c r="H9" s="509">
        <v>48000000</v>
      </c>
      <c r="I9" s="509">
        <f>H9</f>
        <v>48000000</v>
      </c>
      <c r="J9" s="91">
        <v>44603</v>
      </c>
      <c r="K9" s="91">
        <f>J9+35</f>
        <v>44638</v>
      </c>
      <c r="L9" s="509">
        <v>48000000</v>
      </c>
      <c r="M9" s="91">
        <f>J9+180</f>
        <v>44783</v>
      </c>
      <c r="N9" s="509"/>
      <c r="O9" s="509"/>
      <c r="P9" s="91"/>
      <c r="Q9" s="89" t="s">
        <v>255</v>
      </c>
      <c r="R9" s="523"/>
      <c r="S9" s="510" t="s">
        <v>564</v>
      </c>
    </row>
    <row r="10" spans="1:22">
      <c r="H10" s="286"/>
      <c r="I10" s="286"/>
      <c r="J10" s="11"/>
      <c r="K10" s="11"/>
      <c r="L10" s="286"/>
      <c r="M10" s="11"/>
      <c r="N10" s="286"/>
      <c r="O10" s="286"/>
      <c r="P10" s="11"/>
      <c r="R10" s="340"/>
    </row>
    <row r="11" spans="1:22">
      <c r="A11" s="43"/>
      <c r="B11" s="43"/>
      <c r="C11" s="43"/>
      <c r="D11" s="43"/>
      <c r="E11" s="1"/>
      <c r="F11" s="13" t="s">
        <v>19</v>
      </c>
      <c r="H11" s="261">
        <f>SUM(H7:H9)</f>
        <v>59000000</v>
      </c>
      <c r="I11" s="261">
        <f>SUM(I7:I9)</f>
        <v>59000000</v>
      </c>
      <c r="J11" s="10"/>
      <c r="K11" s="10"/>
      <c r="L11" s="261">
        <f>SUM(L7:L9)</f>
        <v>59000000</v>
      </c>
      <c r="M11" s="10"/>
      <c r="N11" s="261">
        <f t="shared" ref="N11:O11" si="0">SUM(N7:N9)</f>
        <v>0</v>
      </c>
      <c r="O11" s="261">
        <f t="shared" si="0"/>
        <v>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K13" s="3"/>
      <c r="L13" s="9"/>
      <c r="M13" s="3"/>
      <c r="Q13" s="13"/>
    </row>
    <row r="14" spans="1:22" s="1" customFormat="1">
      <c r="A14" s="5"/>
      <c r="B14" s="5"/>
      <c r="C14" s="5"/>
      <c r="E14" s="5"/>
      <c r="G14" s="5"/>
      <c r="H14" s="67"/>
      <c r="I14" s="9"/>
      <c r="J14" s="3"/>
      <c r="K14" s="137"/>
      <c r="L14" s="9"/>
      <c r="M14" s="3"/>
      <c r="N14" s="76"/>
      <c r="Q14" s="13"/>
    </row>
    <row r="15" spans="1:22" s="1" customFormat="1">
      <c r="A15" s="5"/>
      <c r="B15" s="5"/>
      <c r="C15" s="5"/>
      <c r="E15" s="132"/>
      <c r="F15" s="58" t="s">
        <v>10</v>
      </c>
      <c r="G15" s="5"/>
      <c r="H15" s="77">
        <f>E1-I11+O11+G26</f>
        <v>224743357</v>
      </c>
      <c r="I15" s="193"/>
      <c r="J15" s="137"/>
      <c r="L15" s="166"/>
      <c r="M15" s="137"/>
      <c r="N15" s="342"/>
      <c r="O15" s="2"/>
      <c r="Q15" s="13"/>
    </row>
    <row r="16" spans="1:22">
      <c r="I16" s="298"/>
      <c r="L16" s="51"/>
      <c r="M16" s="11"/>
      <c r="N16" s="342"/>
      <c r="O16" s="2"/>
    </row>
    <row r="17" spans="3:15">
      <c r="H17" s="34"/>
      <c r="I17" s="127"/>
      <c r="J17" s="11"/>
      <c r="K17" s="60"/>
      <c r="L17" s="199"/>
      <c r="M17" s="386"/>
      <c r="N17" s="401"/>
      <c r="O17" s="387"/>
    </row>
    <row r="18" spans="3:15">
      <c r="F18" s="58"/>
      <c r="G18" s="260"/>
      <c r="I18" s="44"/>
      <c r="J18" s="49"/>
      <c r="K18" s="60"/>
      <c r="L18" s="11"/>
      <c r="M18" s="12"/>
      <c r="N18" s="391"/>
      <c r="O18" s="13"/>
    </row>
    <row r="19" spans="3:15">
      <c r="G19" s="10"/>
      <c r="H19" s="285"/>
      <c r="I19" s="163"/>
      <c r="M19" s="49"/>
      <c r="N19" s="386"/>
    </row>
    <row r="20" spans="3:15">
      <c r="E20" s="439"/>
      <c r="G20" s="10"/>
      <c r="H20" s="285"/>
      <c r="I20" s="163"/>
      <c r="J20" s="12"/>
      <c r="L20" s="421"/>
      <c r="M20" s="49"/>
    </row>
    <row r="21" spans="3:15">
      <c r="G21" s="10"/>
      <c r="H21" s="285"/>
      <c r="I21" s="163"/>
      <c r="M21" s="49"/>
    </row>
    <row r="22" spans="3:15">
      <c r="C22" s="13">
        <v>5246</v>
      </c>
      <c r="D22" s="13" t="s">
        <v>77</v>
      </c>
      <c r="E22" s="13" t="s">
        <v>76</v>
      </c>
      <c r="F22" s="36" t="s">
        <v>94</v>
      </c>
      <c r="G22" s="10">
        <f>6000000+6550000</f>
        <v>12550000</v>
      </c>
      <c r="H22" s="467" t="s">
        <v>595</v>
      </c>
      <c r="I22" s="163"/>
      <c r="M22" s="49"/>
    </row>
    <row r="23" spans="3:15">
      <c r="C23" s="13">
        <v>5425</v>
      </c>
      <c r="D23" s="13" t="s">
        <v>77</v>
      </c>
      <c r="E23" s="13" t="s">
        <v>76</v>
      </c>
      <c r="F23" s="36" t="s">
        <v>94</v>
      </c>
      <c r="G23" s="10">
        <v>6000000</v>
      </c>
      <c r="H23" s="467" t="s">
        <v>561</v>
      </c>
      <c r="I23" s="163"/>
      <c r="M23" s="49"/>
    </row>
    <row r="24" spans="3:15">
      <c r="C24" s="13">
        <v>5426</v>
      </c>
      <c r="D24" s="13" t="s">
        <v>77</v>
      </c>
      <c r="E24" s="13" t="s">
        <v>76</v>
      </c>
      <c r="F24" s="36" t="s">
        <v>94</v>
      </c>
      <c r="G24" s="10">
        <v>5000000</v>
      </c>
      <c r="H24" s="467" t="s">
        <v>562</v>
      </c>
      <c r="I24" s="163"/>
      <c r="M24" s="49"/>
    </row>
    <row r="25" spans="3:15">
      <c r="C25" s="13">
        <v>5427</v>
      </c>
      <c r="D25" s="13" t="s">
        <v>77</v>
      </c>
      <c r="E25" s="13" t="s">
        <v>76</v>
      </c>
      <c r="F25" s="13" t="s">
        <v>94</v>
      </c>
      <c r="G25" s="458">
        <v>30450000</v>
      </c>
      <c r="H25" s="467" t="s">
        <v>563</v>
      </c>
      <c r="I25" s="163"/>
      <c r="M25" s="49"/>
    </row>
    <row r="26" spans="3:15">
      <c r="G26" s="291">
        <f>SUM(G22:G25)</f>
        <v>54000000</v>
      </c>
      <c r="J26" s="11"/>
    </row>
    <row r="27" spans="3:15">
      <c r="J27" s="11"/>
    </row>
    <row r="28" spans="3:15">
      <c r="J28" s="11"/>
      <c r="N28" s="386"/>
    </row>
    <row r="29" spans="3:15">
      <c r="G29" s="10"/>
      <c r="N29" s="386"/>
    </row>
    <row r="30" spans="3:15">
      <c r="G30" s="10"/>
    </row>
    <row r="31" spans="3:15">
      <c r="F31" s="36"/>
    </row>
    <row r="32" spans="3:15">
      <c r="F32" s="36"/>
      <c r="H32" s="13"/>
      <c r="J32" s="11"/>
    </row>
    <row r="33" spans="10:10">
      <c r="J33"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35"/>
  <sheetViews>
    <sheetView zoomScaleNormal="100" workbookViewId="0">
      <selection activeCell="H19" sqref="H19"/>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460827707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428</v>
      </c>
      <c r="D7" s="13" t="s">
        <v>315</v>
      </c>
      <c r="E7" s="13" t="s">
        <v>249</v>
      </c>
      <c r="F7" s="36" t="s">
        <v>436</v>
      </c>
      <c r="G7" s="36" t="s">
        <v>78</v>
      </c>
      <c r="H7" s="409">
        <v>0</v>
      </c>
      <c r="I7" s="286"/>
      <c r="J7" s="11"/>
      <c r="K7" s="11"/>
      <c r="L7" s="286"/>
      <c r="M7" s="11"/>
      <c r="N7" s="286"/>
      <c r="O7" s="286"/>
      <c r="P7" s="11"/>
      <c r="Q7" s="13" t="s">
        <v>247</v>
      </c>
      <c r="R7" s="92" t="s">
        <v>600</v>
      </c>
    </row>
    <row r="8" spans="1:22" s="5" customFormat="1" ht="11.4">
      <c r="A8" s="5">
        <v>34</v>
      </c>
      <c r="B8" s="5">
        <v>38</v>
      </c>
      <c r="C8" s="5">
        <v>5513</v>
      </c>
      <c r="D8" s="5" t="s">
        <v>504</v>
      </c>
      <c r="E8" s="5" t="s">
        <v>97</v>
      </c>
      <c r="F8" s="26" t="s">
        <v>441</v>
      </c>
      <c r="G8" s="26" t="s">
        <v>95</v>
      </c>
      <c r="H8" s="344">
        <v>39000000</v>
      </c>
      <c r="I8" s="341">
        <f t="shared" ref="I8:I13" si="0">H8</f>
        <v>39000000</v>
      </c>
      <c r="J8" s="6">
        <v>44625</v>
      </c>
      <c r="K8" s="6">
        <f t="shared" ref="K8:K13" si="1">J8+35</f>
        <v>44660</v>
      </c>
      <c r="L8" s="341"/>
      <c r="M8" s="6">
        <f t="shared" ref="M8:M13" si="2">J8+180</f>
        <v>44805</v>
      </c>
      <c r="N8" s="341"/>
      <c r="O8" s="341"/>
      <c r="P8" s="6"/>
      <c r="Q8" s="5" t="s">
        <v>255</v>
      </c>
      <c r="R8" s="141"/>
      <c r="S8" s="371"/>
    </row>
    <row r="9" spans="1:22" s="13" customFormat="1">
      <c r="A9" s="13">
        <v>35</v>
      </c>
      <c r="B9" s="13">
        <v>39</v>
      </c>
      <c r="C9" s="13">
        <v>5514</v>
      </c>
      <c r="D9" s="13" t="s">
        <v>315</v>
      </c>
      <c r="E9" s="13" t="s">
        <v>249</v>
      </c>
      <c r="F9" s="36" t="s">
        <v>442</v>
      </c>
      <c r="G9" s="36" t="s">
        <v>78</v>
      </c>
      <c r="H9" s="409">
        <v>53000000</v>
      </c>
      <c r="I9" s="286">
        <f t="shared" si="0"/>
        <v>53000000</v>
      </c>
      <c r="J9" s="11">
        <v>44625</v>
      </c>
      <c r="K9" s="11">
        <f t="shared" si="1"/>
        <v>44660</v>
      </c>
      <c r="L9" s="286">
        <v>0</v>
      </c>
      <c r="M9" s="11">
        <f t="shared" si="2"/>
        <v>44805</v>
      </c>
      <c r="N9" s="286"/>
      <c r="O9" s="286">
        <f>I9-L9</f>
        <v>53000000</v>
      </c>
      <c r="P9" s="11">
        <v>44632</v>
      </c>
      <c r="Q9" s="13" t="s">
        <v>255</v>
      </c>
      <c r="R9" s="92"/>
    </row>
    <row r="10" spans="1:22" s="13" customFormat="1">
      <c r="A10" s="13">
        <v>50</v>
      </c>
      <c r="B10" s="13">
        <v>50</v>
      </c>
      <c r="C10" s="13">
        <v>5515</v>
      </c>
      <c r="D10" s="13" t="s">
        <v>315</v>
      </c>
      <c r="E10" s="13" t="s">
        <v>250</v>
      </c>
      <c r="F10" s="36" t="s">
        <v>444</v>
      </c>
      <c r="G10" s="36" t="s">
        <v>209</v>
      </c>
      <c r="H10" s="409">
        <v>50000000</v>
      </c>
      <c r="I10" s="286">
        <f t="shared" si="0"/>
        <v>50000000</v>
      </c>
      <c r="J10" s="11">
        <v>44625</v>
      </c>
      <c r="K10" s="11">
        <f t="shared" si="1"/>
        <v>44660</v>
      </c>
      <c r="L10" s="286">
        <v>0</v>
      </c>
      <c r="M10" s="11">
        <f t="shared" si="2"/>
        <v>44805</v>
      </c>
      <c r="N10" s="286"/>
      <c r="O10" s="286">
        <f>I10-L10</f>
        <v>50000000</v>
      </c>
      <c r="P10" s="11">
        <v>44630</v>
      </c>
      <c r="Q10" s="13" t="s">
        <v>255</v>
      </c>
      <c r="R10" s="92"/>
    </row>
    <row r="11" spans="1:22" s="5" customFormat="1" ht="11.4">
      <c r="A11" s="5" t="s">
        <v>146</v>
      </c>
      <c r="B11" s="5" t="s">
        <v>146</v>
      </c>
      <c r="C11" s="5">
        <v>5516</v>
      </c>
      <c r="D11" s="5" t="s">
        <v>504</v>
      </c>
      <c r="E11" s="5" t="s">
        <v>249</v>
      </c>
      <c r="F11" s="26" t="s">
        <v>510</v>
      </c>
      <c r="G11" s="26" t="s">
        <v>78</v>
      </c>
      <c r="H11" s="344">
        <v>30000000</v>
      </c>
      <c r="I11" s="341">
        <f t="shared" si="0"/>
        <v>30000000</v>
      </c>
      <c r="J11" s="6">
        <v>44628</v>
      </c>
      <c r="K11" s="6">
        <f t="shared" si="1"/>
        <v>44663</v>
      </c>
      <c r="L11" s="341"/>
      <c r="M11" s="6">
        <f t="shared" si="2"/>
        <v>44808</v>
      </c>
      <c r="N11" s="341"/>
      <c r="O11" s="341"/>
      <c r="P11" s="6"/>
      <c r="Q11" s="5" t="s">
        <v>255</v>
      </c>
      <c r="R11" s="141"/>
    </row>
    <row r="12" spans="1:22" s="5" customFormat="1" ht="11.4">
      <c r="A12" s="5" t="s">
        <v>146</v>
      </c>
      <c r="B12" s="5" t="s">
        <v>146</v>
      </c>
      <c r="C12" s="5">
        <v>5517</v>
      </c>
      <c r="D12" s="5" t="s">
        <v>504</v>
      </c>
      <c r="E12" s="5" t="s">
        <v>588</v>
      </c>
      <c r="F12" s="26" t="s">
        <v>589</v>
      </c>
      <c r="G12" s="26" t="s">
        <v>298</v>
      </c>
      <c r="H12" s="344">
        <v>20000000</v>
      </c>
      <c r="I12" s="341">
        <f t="shared" si="0"/>
        <v>20000000</v>
      </c>
      <c r="J12" s="6">
        <v>44628</v>
      </c>
      <c r="K12" s="6">
        <f t="shared" si="1"/>
        <v>44663</v>
      </c>
      <c r="L12" s="341"/>
      <c r="M12" s="6">
        <f t="shared" si="2"/>
        <v>44808</v>
      </c>
      <c r="N12" s="341"/>
      <c r="O12" s="341"/>
      <c r="P12" s="6"/>
      <c r="Q12" s="5" t="s">
        <v>255</v>
      </c>
      <c r="R12" s="141"/>
    </row>
    <row r="13" spans="1:22" s="89" customFormat="1" ht="11.4">
      <c r="A13" s="89" t="s">
        <v>146</v>
      </c>
      <c r="B13" s="89" t="s">
        <v>146</v>
      </c>
      <c r="C13" s="89">
        <v>5520</v>
      </c>
      <c r="D13" s="89" t="s">
        <v>504</v>
      </c>
      <c r="E13" s="89" t="s">
        <v>344</v>
      </c>
      <c r="F13" s="88" t="s">
        <v>604</v>
      </c>
      <c r="G13" s="88" t="s">
        <v>345</v>
      </c>
      <c r="H13" s="507">
        <v>30000000</v>
      </c>
      <c r="I13" s="509">
        <f t="shared" si="0"/>
        <v>30000000</v>
      </c>
      <c r="J13" s="91">
        <v>44643</v>
      </c>
      <c r="K13" s="91">
        <f t="shared" si="1"/>
        <v>44678</v>
      </c>
      <c r="L13" s="509">
        <v>30000000</v>
      </c>
      <c r="M13" s="91">
        <f t="shared" si="2"/>
        <v>44823</v>
      </c>
      <c r="N13" s="509"/>
      <c r="O13" s="509"/>
      <c r="P13" s="91"/>
      <c r="Q13" s="89" t="s">
        <v>255</v>
      </c>
      <c r="R13" s="511"/>
    </row>
    <row r="14" spans="1:22">
      <c r="A14" s="13"/>
      <c r="B14" s="13"/>
      <c r="E14" s="200"/>
      <c r="F14" s="13"/>
      <c r="G14" s="423"/>
      <c r="H14" s="424"/>
      <c r="I14" s="425"/>
      <c r="J14" s="3"/>
      <c r="K14" s="3"/>
      <c r="L14" s="82"/>
      <c r="M14" s="3"/>
    </row>
    <row r="15" spans="1:22">
      <c r="C15" s="13"/>
      <c r="D15" s="13"/>
      <c r="E15" s="13"/>
      <c r="F15" s="13" t="s">
        <v>19</v>
      </c>
      <c r="G15" s="13"/>
      <c r="H15" s="261">
        <f>SUM(H7:H14)</f>
        <v>222000000</v>
      </c>
      <c r="I15" s="261">
        <f>SUM(I7:I14)</f>
        <v>222000000</v>
      </c>
      <c r="J15" s="10"/>
      <c r="K15" s="10"/>
      <c r="L15" s="261">
        <f>SUM(L7:L14)</f>
        <v>30000000</v>
      </c>
      <c r="M15" s="10"/>
      <c r="N15" s="261">
        <f>SUM(N7:N14)</f>
        <v>0</v>
      </c>
      <c r="O15" s="261">
        <f>SUM(O7:O14)</f>
        <v>103000000</v>
      </c>
      <c r="P15" s="13"/>
    </row>
    <row r="16" spans="1:22">
      <c r="C16" s="43"/>
      <c r="D16" s="43"/>
      <c r="E16" s="147"/>
      <c r="F16" s="13"/>
      <c r="H16" s="76"/>
      <c r="J16" s="11"/>
      <c r="K16" s="11"/>
      <c r="L16" s="9"/>
      <c r="M16" s="6"/>
      <c r="O16" s="1"/>
    </row>
    <row r="17" spans="1:17">
      <c r="F17" s="13" t="s">
        <v>43</v>
      </c>
      <c r="G17" s="5"/>
      <c r="H17" s="34">
        <f>H15-I15</f>
        <v>0</v>
      </c>
      <c r="I17" s="9"/>
      <c r="J17" s="3"/>
      <c r="K17" s="3"/>
      <c r="L17" s="9"/>
      <c r="O17" s="1"/>
    </row>
    <row r="18" spans="1:17">
      <c r="G18" s="5"/>
      <c r="H18" s="67"/>
      <c r="I18" s="9"/>
      <c r="J18" s="3"/>
      <c r="L18" s="9"/>
      <c r="N18" s="76"/>
      <c r="O18" s="1"/>
    </row>
    <row r="19" spans="1:17">
      <c r="A19" s="43"/>
      <c r="B19" s="43"/>
      <c r="F19" s="58" t="s">
        <v>10</v>
      </c>
      <c r="G19" s="5"/>
      <c r="H19" s="77">
        <f>E1-I15+O15+G25</f>
        <v>371827707</v>
      </c>
      <c r="I19" s="289"/>
      <c r="J19" s="3"/>
      <c r="L19" s="82"/>
      <c r="M19" s="137"/>
      <c r="O19" s="1"/>
      <c r="Q19" s="13"/>
    </row>
    <row r="20" spans="1:17">
      <c r="F20" s="58"/>
      <c r="G20" s="5"/>
      <c r="H20" s="123"/>
      <c r="I20" s="193"/>
      <c r="J20" s="3"/>
      <c r="L20" s="9"/>
      <c r="M20" s="137"/>
      <c r="O20" s="1"/>
    </row>
    <row r="21" spans="1:17">
      <c r="F21" s="58"/>
      <c r="G21" s="5"/>
      <c r="H21" s="123"/>
      <c r="I21" s="289"/>
      <c r="J21" s="3"/>
      <c r="K21" s="3"/>
      <c r="L21" s="9"/>
      <c r="M21" s="137"/>
      <c r="O21" s="1"/>
    </row>
    <row r="22" spans="1:17">
      <c r="C22" s="43"/>
      <c r="D22" s="43"/>
      <c r="E22" s="147"/>
      <c r="F22" s="13"/>
      <c r="G22" s="13"/>
      <c r="H22" s="12"/>
      <c r="I22" s="41"/>
      <c r="J22" s="13"/>
      <c r="K22" s="11"/>
      <c r="L22" s="483"/>
      <c r="M22" s="11"/>
      <c r="N22" s="57"/>
      <c r="O22" s="12"/>
      <c r="P22" s="13"/>
    </row>
    <row r="23" spans="1:17">
      <c r="C23" s="13"/>
      <c r="D23" s="13"/>
      <c r="E23" s="13"/>
      <c r="F23" s="13"/>
      <c r="G23" s="66"/>
      <c r="H23" s="285"/>
      <c r="I23" s="41"/>
      <c r="J23" s="36"/>
      <c r="K23" s="13"/>
      <c r="L23" s="196"/>
      <c r="M23" s="11"/>
      <c r="N23" s="57"/>
      <c r="O23" s="12"/>
      <c r="P23" s="13"/>
    </row>
    <row r="24" spans="1:17">
      <c r="C24" s="13">
        <v>5420</v>
      </c>
      <c r="D24" s="13" t="s">
        <v>77</v>
      </c>
      <c r="E24" s="13" t="s">
        <v>344</v>
      </c>
      <c r="F24" s="36" t="s">
        <v>94</v>
      </c>
      <c r="G24" s="460">
        <v>30000000</v>
      </c>
      <c r="H24" s="498" t="s">
        <v>605</v>
      </c>
      <c r="I24" s="41"/>
      <c r="J24" s="36"/>
      <c r="K24" s="13"/>
      <c r="L24" s="196"/>
      <c r="M24" s="11"/>
      <c r="N24" s="57"/>
      <c r="O24" s="12"/>
      <c r="P24" s="13"/>
    </row>
    <row r="25" spans="1:17">
      <c r="F25" s="13"/>
      <c r="G25" s="291">
        <f>SUM(G23:G24)</f>
        <v>30000000</v>
      </c>
      <c r="H25" s="12"/>
      <c r="I25" s="41"/>
      <c r="J25" s="13"/>
      <c r="K25" s="13"/>
      <c r="L25" s="196"/>
      <c r="M25" s="11"/>
      <c r="N25" s="57"/>
      <c r="O25" s="12"/>
      <c r="P25" s="13"/>
    </row>
    <row r="26" spans="1:17">
      <c r="I26" s="41"/>
      <c r="J26" s="13"/>
      <c r="K26" s="13"/>
      <c r="L26" s="388"/>
      <c r="M26" s="11"/>
      <c r="N26" s="57"/>
      <c r="O26" s="12"/>
      <c r="P26" s="13"/>
    </row>
    <row r="27" spans="1:17">
      <c r="G27" s="82"/>
      <c r="J27" s="166"/>
      <c r="L27" s="400"/>
    </row>
    <row r="28" spans="1:17">
      <c r="C28" s="13"/>
      <c r="D28" s="13"/>
      <c r="E28" s="13"/>
      <c r="F28" s="36"/>
    </row>
    <row r="29" spans="1:17">
      <c r="G29" s="2"/>
    </row>
    <row r="30" spans="1:17">
      <c r="G30" s="139"/>
    </row>
    <row r="31" spans="1:17">
      <c r="G31" s="139"/>
      <c r="J31" s="166"/>
    </row>
    <row r="32" spans="1:17">
      <c r="J32" s="166"/>
    </row>
    <row r="33" spans="10:10">
      <c r="J33" s="166"/>
    </row>
    <row r="34" spans="10:10">
      <c r="J34" s="166"/>
    </row>
    <row r="35" spans="10:10">
      <c r="J35" s="167"/>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2026-04-02T14:58:32Z</dcterms:modified>
</cp:coreProperties>
</file>